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2240" windowHeight="7395" tabRatio="599" activeTab="2"/>
  </bookViews>
  <sheets>
    <sheet name="สารบาญ" sheetId="1" r:id="rId1"/>
    <sheet name="คาดก์ารณนักเรียนทุน" sheetId="2" r:id="rId2"/>
    <sheet name="1  พยาบาล" sheetId="3" r:id="rId3"/>
    <sheet name="2 นวก" sheetId="4" r:id="rId4"/>
    <sheet name="3 ทันตสาธารณสุข" sheetId="5" r:id="rId5"/>
    <sheet name="4.แพทย์แผนไทย" sheetId="6" r:id="rId6"/>
    <sheet name="รวมรายชื่อ" sheetId="7" r:id="rId7"/>
  </sheets>
  <definedNames>
    <definedName name="_xlnm._FilterDatabase" localSheetId="6" hidden="1">'รวมรายชื่อ'!$D$7:$F$132</definedName>
    <definedName name="_xlnm.Print_Titles" localSheetId="6">'รวมรายชื่อ'!$1:$4</definedName>
  </definedNames>
  <calcPr calcMode="manual" fullCalcOnLoad="1"/>
</workbook>
</file>

<file path=xl/sharedStrings.xml><?xml version="1.0" encoding="utf-8"?>
<sst xmlns="http://schemas.openxmlformats.org/spreadsheetml/2006/main" count="779" uniqueCount="273">
  <si>
    <t xml:space="preserve">สังกัดสำนักงานสาธารณสุขจังหวัดเพชรบูรณ์ </t>
  </si>
  <si>
    <t>หลักสูตร</t>
  </si>
  <si>
    <t>สถาบัน</t>
  </si>
  <si>
    <t>รวม</t>
  </si>
  <si>
    <t>วิทยาลัยพยาบาลบรมราชชนนีพุทธชินราช พิษณุโลก</t>
  </si>
  <si>
    <t>วิทยาลัยการสาธารณสุขสิรินธร จ.พิษณุโลก</t>
  </si>
  <si>
    <t>จำนวน (คน)</t>
  </si>
  <si>
    <t>ทุน</t>
  </si>
  <si>
    <t>วิเชียรบุรี</t>
  </si>
  <si>
    <t>หล่มสัก</t>
  </si>
  <si>
    <t>หนองไผ่</t>
  </si>
  <si>
    <t>หล่มเก่า</t>
  </si>
  <si>
    <t>ชนแดน</t>
  </si>
  <si>
    <t>ศรีเทพ</t>
  </si>
  <si>
    <t>เขาค้อ</t>
  </si>
  <si>
    <t>วังโป่ง</t>
  </si>
  <si>
    <t>บึงสามพัน</t>
  </si>
  <si>
    <t>น้ำหนาว</t>
  </si>
  <si>
    <t xml:space="preserve">หน้า </t>
  </si>
  <si>
    <t>อำเภอ</t>
  </si>
  <si>
    <t>รพ.</t>
  </si>
  <si>
    <t>รพ.สต.</t>
  </si>
  <si>
    <t>จำนวนจัดสรร (คน)</t>
  </si>
  <si>
    <t>สาธารณสุขศาสตร์บัณฑิต (ทันตสาธารณสุข)</t>
  </si>
  <si>
    <t>M2</t>
  </si>
  <si>
    <t>F1</t>
  </si>
  <si>
    <t>F2</t>
  </si>
  <si>
    <t>F3</t>
  </si>
  <si>
    <t>ระดับ รพ.</t>
  </si>
  <si>
    <t>Active BED</t>
  </si>
  <si>
    <t>ขาด/เกิน</t>
  </si>
  <si>
    <t xml:space="preserve">S </t>
  </si>
  <si>
    <t>ปฏิบัติงานจริง</t>
  </si>
  <si>
    <t>ความต้องการ</t>
  </si>
  <si>
    <t>เครือข่าย</t>
  </si>
  <si>
    <t>เมืองเพชรบูรณ์</t>
  </si>
  <si>
    <t>รพท.เพชรบูรณ์</t>
  </si>
  <si>
    <t>รพช.วิเชียรบุรี</t>
  </si>
  <si>
    <t>รพช.หล่มสัก</t>
  </si>
  <si>
    <t>รพช.หนองไผ่</t>
  </si>
  <si>
    <t>รพร.หล่มเก่า</t>
  </si>
  <si>
    <t>รพช.บึงสามพัน</t>
  </si>
  <si>
    <t>รพช.ชนแดน</t>
  </si>
  <si>
    <t>รพช.ศรีเทพ</t>
  </si>
  <si>
    <t>รพช.วังโป่ง</t>
  </si>
  <si>
    <t>รพช.เขาค้อ</t>
  </si>
  <si>
    <t>รพช.น้ำหนาว</t>
  </si>
  <si>
    <t>หมายเหตุ</t>
  </si>
  <si>
    <t>บุคลลทั่วไป</t>
  </si>
  <si>
    <t>บุตร อสม.</t>
  </si>
  <si>
    <t>มูลนิธิ รพร.</t>
  </si>
  <si>
    <t>จำนวนเตียงตามกรอบ 5๗</t>
  </si>
  <si>
    <t xml:space="preserve">ข้อมูลจากหน่วยบริการ  สังกัดสำนักงานสาธารณสุขจังหวัดเพชรบูรณ์   </t>
  </si>
  <si>
    <t>ความต้องการ (คน)</t>
  </si>
  <si>
    <t>ขาด/เกิน (คน)</t>
  </si>
  <si>
    <t>รพ.สต.  กรอบ  นวก  รวมกับ  จพ.</t>
  </si>
  <si>
    <t>ลำ ดับ</t>
  </si>
  <si>
    <t>ร้อยละความขาด (+ขาด ,    -เกิน)</t>
  </si>
  <si>
    <t>หน้า  ๒</t>
  </si>
  <si>
    <t>ประชากรรพ.สต.</t>
  </si>
  <si>
    <t>หน้า  ๓</t>
  </si>
  <si>
    <t>หน้า  ๔</t>
  </si>
  <si>
    <t>มูลนิธิ ฉ</t>
  </si>
  <si>
    <t>สาธารณสุขศาสตร์บัณฑิต(สาธารณสุขชุมชน)</t>
  </si>
  <si>
    <t>ร้อยละความขาด (+ขาด , -เกิน)</t>
  </si>
  <si>
    <t>สูญเสีย</t>
  </si>
  <si>
    <t>ย้าย/โอน</t>
  </si>
  <si>
    <t>ลา ออก</t>
  </si>
  <si>
    <t>ย้ายเข้า</t>
  </si>
  <si>
    <t>ร้อยละความขาด รพ. + รพ.สต</t>
  </si>
  <si>
    <t>ร้อยละความขาด รพ.+รพ.สต.</t>
  </si>
  <si>
    <t>ร้อยละความขาด รพ+รพ.สต.</t>
  </si>
  <si>
    <t>FTE 2.75</t>
  </si>
  <si>
    <t>ร้อยละความขาด รพ. +รพ.สต.</t>
  </si>
  <si>
    <t>ปฏิบัติ งานจริง (คน)</t>
  </si>
  <si>
    <t>ร่างจัดสรรตามความขาด</t>
  </si>
  <si>
    <t>ปฏิบัติ งานจริง</t>
  </si>
  <si>
    <t>ร่างจัดสรรความขาด</t>
  </si>
  <si>
    <t>หน้า 1</t>
  </si>
  <si>
    <t>ทุน รพ เพชรบูรณ์</t>
  </si>
  <si>
    <t>รพ.สต.  คิดสัดส่วนพยาบาลวิชาชีพต่อขนาดของ รพ.สต.</t>
  </si>
  <si>
    <t>คิดสัดส่วน นวก + จพ ต่อขนาด รพ.สต.</t>
  </si>
  <si>
    <t>รพ.สต.วังพิกุล</t>
  </si>
  <si>
    <t>จำนวนปฏิบัติงานจริง  ณ  เดือนเมษายน  2562</t>
  </si>
  <si>
    <t xml:space="preserve">นวก ทันต  และ จพ.ทันต  ขั้นต่ำ  ทุก รพ  2 คน  และสัดส่วนต่อขนาด รพ.สต.  </t>
  </si>
  <si>
    <t>ขาด</t>
  </si>
  <si>
    <t>รวมขาด</t>
  </si>
  <si>
    <t>เติม ปี 62</t>
  </si>
  <si>
    <t>เติมปี 62</t>
  </si>
  <si>
    <t>ปี 63</t>
  </si>
  <si>
    <t>FTE 2.75 80 %</t>
  </si>
  <si>
    <t>FTE 2.75 100 %</t>
  </si>
  <si>
    <t>FTE 2.75 100%</t>
  </si>
  <si>
    <t>FTE 2.75 80%</t>
  </si>
  <si>
    <t>ไม่รวม สสอ</t>
  </si>
  <si>
    <t>สสจ.พช</t>
  </si>
  <si>
    <t>กลุ่มงานทันตสาธารณสุข  สสจ.  กรอบ....</t>
  </si>
  <si>
    <t>หน้า 2</t>
  </si>
  <si>
    <t xml:space="preserve">รพ.สต </t>
  </si>
  <si>
    <t>ขนาดใหญ่</t>
  </si>
  <si>
    <t xml:space="preserve">L </t>
  </si>
  <si>
    <t xml:space="preserve"> 3 - 4 </t>
  </si>
  <si>
    <t xml:space="preserve"> 4 - 4 </t>
  </si>
  <si>
    <t xml:space="preserve">M </t>
  </si>
  <si>
    <t xml:space="preserve"> 2 - 3</t>
  </si>
  <si>
    <t>ขนาดกลาง</t>
  </si>
  <si>
    <t>ขนาดเล็ก</t>
  </si>
  <si>
    <t>S</t>
  </si>
  <si>
    <t xml:space="preserve"> 2 - 2 </t>
  </si>
  <si>
    <t xml:space="preserve"> 4 - 6</t>
  </si>
  <si>
    <t>ไม่รวม รพ.สต.</t>
  </si>
  <si>
    <t>ลำดับที่</t>
  </si>
  <si>
    <t>ชื่อ - สกุล 
(นักเรียนทุน)</t>
  </si>
  <si>
    <t>ตำแหน่งที่จะจ้าง</t>
  </si>
  <si>
    <t>หน่วยงานที่ชดใช้ทุน</t>
  </si>
  <si>
    <t>สสจ.เพชรบูรณ์</t>
  </si>
  <si>
    <t>พยาบาลวิชาชีพ</t>
  </si>
  <si>
    <t>รพ.เพชรบูรณ์</t>
  </si>
  <si>
    <t>นักวิชาการสาธารณสุข (ทันตสาธารณสุข)</t>
  </si>
  <si>
    <t>นักวิชาการสาธารณสุข</t>
  </si>
  <si>
    <t>แพทย์แผนไทย</t>
  </si>
  <si>
    <t>วพบ.พุทธชินราช</t>
  </si>
  <si>
    <t xml:space="preserve">พยาบาลศาสตรบัณฑิต (คน)              </t>
  </si>
  <si>
    <t>วิทยาลัยการสาธารณสุขสิรินธร พิษณุโลก</t>
  </si>
  <si>
    <t xml:space="preserve">แพทย์แผนไทย </t>
  </si>
  <si>
    <t>กลุ่มงานบริหารทรัพยากรบุคคล  สำนักงานสาธารณสุขจังหวัดเพชรบูรณ์</t>
  </si>
  <si>
    <t>หน้า  ๕</t>
  </si>
  <si>
    <t xml:space="preserve">ความต้องการ </t>
  </si>
  <si>
    <t>จพ.แพทย์แผนไทย</t>
  </si>
  <si>
    <t>ขั้นสูง  รพ แพทย์แผนไทย 10 คน  และ คิดขนาด รพ.สต.</t>
  </si>
  <si>
    <t xml:space="preserve">     พิจารณาจัดสรร (5 คน)</t>
  </si>
  <si>
    <t xml:space="preserve">เขตสุขภาพที่ 2  จังหวัดเพชรบุรณ์ </t>
  </si>
  <si>
    <t>ประเภททุน</t>
  </si>
  <si>
    <t>วัน/เดือน/ปี ที่สำเร็จการศึกษา</t>
  </si>
  <si>
    <t>สถาบันการศึกษา</t>
  </si>
  <si>
    <t>ทุนอื่นๆ (ระบุชื่อทุน)</t>
  </si>
  <si>
    <t>วัน</t>
  </si>
  <si>
    <t>เดือน</t>
  </si>
  <si>
    <t xml:space="preserve">ปี </t>
  </si>
  <si>
    <t>นางสาวอรพรรณ จันทร์เหลา</t>
  </si>
  <si>
    <t>รพ วังโป่ง</t>
  </si>
  <si>
    <t>ทุนหน่วยบริการใน สป.</t>
  </si>
  <si>
    <t>พัฒนาบุคลากร</t>
  </si>
  <si>
    <t>มีนาคม</t>
  </si>
  <si>
    <t xml:space="preserve">วพบ.พุทธชินราช </t>
  </si>
  <si>
    <t>นางสาวสุกัลย์ชนา บุญทั่ง</t>
  </si>
  <si>
    <t>รพ.สต.ระวิง</t>
  </si>
  <si>
    <t>นางสาวกนกวรรณ ช้างอินทร์</t>
  </si>
  <si>
    <t>นางสาวกาญจนา ณ วิเชียร</t>
  </si>
  <si>
    <t>นางสาวจารุวรรณ ศรีสะอาด</t>
  </si>
  <si>
    <t>นางสาวจิรนันท์ พิมสิงห์</t>
  </si>
  <si>
    <t>นางสาวเจนจิรา ติสันทา</t>
  </si>
  <si>
    <t>นางสาวชนิกา บุญหนุน</t>
  </si>
  <si>
    <t>นางสาวชุติกาญจน์ กัลยาประสิทธิ์</t>
  </si>
  <si>
    <t>นางสาวญาณี แดงดี</t>
  </si>
  <si>
    <t>นางสาวณัชนก ใสยาน้อย</t>
  </si>
  <si>
    <t>นางสาวธีวรา นนทโคตร</t>
  </si>
  <si>
    <t>นางสาวนิศามณี แก่นเสา</t>
  </si>
  <si>
    <t>นางสาวมนัญพร บุรีรัตน์</t>
  </si>
  <si>
    <t>นางสาวรัตนวรรณ คำสม</t>
  </si>
  <si>
    <t>นายวิทัต ลุยทอง</t>
  </si>
  <si>
    <t>นางสาววิภาวนี แก้วนิยม</t>
  </si>
  <si>
    <t>นางสาววิมลรัตน์ เมษา</t>
  </si>
  <si>
    <t>นางสาวศศิวิมล แซ่ตั้ง</t>
  </si>
  <si>
    <t>นางสาวสุริชา เกษามูล</t>
  </si>
  <si>
    <t>นางสาวอารีรัตน์ แสงทอง</t>
  </si>
  <si>
    <t>นางสาวกนกวรรณ จันทร์บ้านคลอง</t>
  </si>
  <si>
    <t>นางสาวกมลชนก แซ่หว้า</t>
  </si>
  <si>
    <t>นางสาวจิตรานุช ศักดิ์เจริญชัยกุล</t>
  </si>
  <si>
    <t>นางสาวชนิกานต์ สนใจ</t>
  </si>
  <si>
    <t>นางสาวชลธิชา พุ่มคำ</t>
  </si>
  <si>
    <t>นางสาวฐิติยา กวยหมี</t>
  </si>
  <si>
    <t>นางสาวณฐมล บัวโฮม</t>
  </si>
  <si>
    <t>นางสาวณัฐฐาพร พงษ์ดี</t>
  </si>
  <si>
    <t>นางสาวณัฐธิชา เหล็กกล้า</t>
  </si>
  <si>
    <t>นางสาวธนาภรณ์ พ่วงเฟื่อง</t>
  </si>
  <si>
    <t>นางสาวธิดา แซ่ลี</t>
  </si>
  <si>
    <t>นายธีรเมธ วงศรีหิรัญ</t>
  </si>
  <si>
    <t>นางสาวนภัสรวี งามเลิศ</t>
  </si>
  <si>
    <t>นางสาวนภัสสร วชิรญาณ์</t>
  </si>
  <si>
    <t>นางสาวนฤมล บุญทอง</t>
  </si>
  <si>
    <t>นางสาวเนตรนภา ศรีธรรม</t>
  </si>
  <si>
    <t>นางสาวบุษบา โพธินา</t>
  </si>
  <si>
    <t>นางสาวปาริษา ทองคง</t>
  </si>
  <si>
    <t>นางสาวพชรพร งามภักดิ์</t>
  </si>
  <si>
    <t>นางสาวพรศิริ ศิริจันทโชติ</t>
  </si>
  <si>
    <t>นายพิชญ์ชญา นุชชม</t>
  </si>
  <si>
    <t>นางสาวโยธกา คำแอด</t>
  </si>
  <si>
    <t>นางสาวรุจิรา เสาดี</t>
  </si>
  <si>
    <t>นางสาวเรืองใจ เข็มเพชร</t>
  </si>
  <si>
    <t>นางสาววรัญญา โบราณมูล</t>
  </si>
  <si>
    <t>นางสาววารุณี สีทองปลิว</t>
  </si>
  <si>
    <t>นางสาวศศิวิมล พูลมี</t>
  </si>
  <si>
    <t>นางสาวศุภิสรา สมสูงเนิน</t>
  </si>
  <si>
    <t>นางสาวโศภิณัฐฐา นนขุนทศ</t>
  </si>
  <si>
    <t>นางสาวสิริพร แจ่มผล</t>
  </si>
  <si>
    <t>นายสุชัจจ์พงศ์ อุไรวรรณ</t>
  </si>
  <si>
    <t>นางสาวสุวนันท์ แก้วบาง</t>
  </si>
  <si>
    <t>นางสาวอรอุมา กลมเกลี้ยง</t>
  </si>
  <si>
    <t>นางสาวอวัชฎา ศรีเพชร</t>
  </si>
  <si>
    <t>นางสาวอารียา เสทน</t>
  </si>
  <si>
    <t>นางสาวปัทมาภรณ์ จันทร์ดี</t>
  </si>
  <si>
    <t>นางสาวอติภา เทพบุรี</t>
  </si>
  <si>
    <t>นางสาวชลดา คำบุญเรือง</t>
  </si>
  <si>
    <t>สอน.</t>
  </si>
  <si>
    <t>นางสาวนรีกานต์ ทองกลีบ</t>
  </si>
  <si>
    <t>นางสาวสุรีย์วรรณ กุลเฉลิมฤกษ์</t>
  </si>
  <si>
    <t>นางสาวธันยพร ทองเมือง</t>
  </si>
  <si>
    <t>วพบ.อุตรดิตถ์</t>
  </si>
  <si>
    <t>นางสาวบุษยมาส ยศปัญญา</t>
  </si>
  <si>
    <t>วสส.จ.พิษณุโลก</t>
  </si>
  <si>
    <t>นางสาวพรพิมล กำไลทอง</t>
  </si>
  <si>
    <t>นางสาวภัทราพร พลกัน</t>
  </si>
  <si>
    <t>ทุน สอน.รพร.</t>
  </si>
  <si>
    <t>รพร</t>
  </si>
  <si>
    <t>นายทินกร สอนทอง</t>
  </si>
  <si>
    <t>นางสาวศิรินภรณ์ กรณ์โคกกรวด</t>
  </si>
  <si>
    <t>นางสาวปนัฐฎา เรืองชัย</t>
  </si>
  <si>
    <t>อสม.</t>
  </si>
  <si>
    <t>นายสิทธิ์พงษ์ ขวัญสูตร</t>
  </si>
  <si>
    <t>รพร.</t>
  </si>
  <si>
    <t>นายธีรธาร บุญเพ็ง</t>
  </si>
  <si>
    <t>นางสาวปนัดดา แก้วหล่อ</t>
  </si>
  <si>
    <t>นางสาวปพิชญา คนเกณฑ์</t>
  </si>
  <si>
    <t>นางสาวกนกพร หยุยไธสง</t>
  </si>
  <si>
    <t>นายธนัชชา ทองเหมาะ</t>
  </si>
  <si>
    <t>นางสาวเกศราวดี พันธุ์นายม</t>
  </si>
  <si>
    <t>จบช้า</t>
  </si>
  <si>
    <t>หยุดเรียน จบช้า</t>
  </si>
  <si>
    <t>เอกสารประกอบการประชุมจัดสรรบุคลากรสหวิชาชีพสำเร็จการศึกษาใหม่  ประจำปีงบประมาณ 2566</t>
  </si>
  <si>
    <t>1. จำนวนนักเรียนทุนที่คาดว่าจะจบการศึกษา  ประจำปีงบประมาณ  2566</t>
  </si>
  <si>
    <t>2. ตารางแสดงข้อมูลสายงานพยาบาลวิชาชีพ  ประจำปีงบประมาณ  2566</t>
  </si>
  <si>
    <t>3. ตารางแสดงข้อมูลสายงานนักวิชาการสาธารณสุข ประจำปีงบประมาณ  2566</t>
  </si>
  <si>
    <t>4. ตารางแสดงข้อมูลสายงานนักวิชาการสาธารณสุข (ทันตสาธารณสุข) ประจำปีงบประมาณ  2566</t>
  </si>
  <si>
    <t>วิทยาลัยพยาบาลบรมราชชนนี อุตรดิตถ์</t>
  </si>
  <si>
    <t>พยาบาลศาสตรบัณฑิต พัฒนาบุคลากร</t>
  </si>
  <si>
    <t>จำนวนนักเรียนทุนที่คาดว่าจะจบการศึกษา  ประจำปีงบประมาณ  2566</t>
  </si>
  <si>
    <t>5. ตารางแสดงข้อมูลสายงานแพทย์แผนไทย ประจำปีงบประมาณ  2566</t>
  </si>
  <si>
    <t>จำนวนบุคลากรที่ปฏิบัติงานจริงและความต้องการบุคลากรสำเร็จการศึกษาใหม่หลักสูตรพยาบาลศาสตรบัณฑิต ประจำปีงบประมาณ 2566</t>
  </si>
  <si>
    <t>จำนวนบุคลากรที่ปฏิบัติงานจริงและความต้องการบุคลากรสำเร็จการศึกษาใหม่หลักสูตรสาธารณสุขศาสตรบัณฑิต ประจำปีงบประมาณ 2566     หน้า 3</t>
  </si>
  <si>
    <t>บุคลากรที่ปฏิบัติงานจริงและความต้องการบุคลากรสำเร็จการศึกษาใหม่หลักสูตรสาธารณสุขศาสตรบัณฑิต( ทันตสาธารณสุข) ประจำปี 2566     หน้า 4</t>
  </si>
  <si>
    <t>แบบฟอร์มบัญชีรายละเอียดโควตานักเรียนทุนสายพยาบาลและสายงานอื่น ๆ จำนวน 9 สายงาน ประจำปี 2566</t>
  </si>
  <si>
    <t>ปีที่สำเร็จการศึกษา 2565</t>
  </si>
  <si>
    <t>ตรวจสอบครบ</t>
  </si>
  <si>
    <t>จำนวนปฏิบัติงานจริง  ณ  เดือนตุลาคม  2565</t>
  </si>
  <si>
    <t xml:space="preserve">   พิจารณาจัดสรร    4 คน</t>
  </si>
  <si>
    <t>พิจารณาจัดสรร   3 คน</t>
  </si>
  <si>
    <t>สสอ.หล่มเก่า กรอบพยาบาลวิชาชีพ 2-2</t>
  </si>
  <si>
    <t>รพ.เพชรบูรณ์ สนับสนุนงบค่าเทอมให้พยาบาล19  ทุน</t>
  </si>
  <si>
    <t xml:space="preserve">ชดเชยเกษียณ 2 บรรจุ 3 และเพิ่มในส่วนการทำงานของสาขา 2 เพื่อรองรับการจัดตั้งศูนย์อุบัติเหตุและฉุกเฉิน 2 </t>
  </si>
  <si>
    <t>ชดเชยเกษียณ 1 คน (รพ.สต.รื่นฤดี)</t>
  </si>
  <si>
    <t xml:space="preserve">นายาว 1 พัฒนะ 1 </t>
  </si>
  <si>
    <t>รพ.สต.หนองแม่นา เนื่องจากเป็นพื้นที่ห่างไกล</t>
  </si>
  <si>
    <t>เกษียณ</t>
  </si>
  <si>
    <t>เกษียณอายุปี 67( 5 คน)</t>
  </si>
  <si>
    <t xml:space="preserve">พิจารณาจัดสรร 38 คน </t>
  </si>
  <si>
    <t>ไม่รวมเคยเป็น พกส. รพ.วังโป่ง</t>
  </si>
  <si>
    <t>รพ.เพชร 20 คน มีจบช้า 1 คน</t>
  </si>
  <si>
    <t>วันที่ 2 พฤศจิกายน 2565</t>
  </si>
  <si>
    <t>ไปบรรจุ(ลบ)</t>
  </si>
  <si>
    <t xml:space="preserve">รับบรรจุ(บวก) </t>
  </si>
  <si>
    <t>เกษียณปี 65 (ลบ)</t>
  </si>
  <si>
    <t>ปริญญาตรี รายงานตัว พค.66</t>
  </si>
  <si>
    <t xml:space="preserve">        </t>
  </si>
  <si>
    <t>หมายเหตุ  พยาบาลวิชาชีพ จบช้า 2 คน เป็นข้าราชการ 1 คน และ เคยเป็น พกส.รพ.วังโป่ง 1 คน</t>
  </si>
  <si>
    <t>จพ.ทันตฯ</t>
  </si>
  <si>
    <t>นวก.(ทันตฯ)</t>
  </si>
  <si>
    <t>ผช.ในตำแหน่ง จพ.ทันต 3 คน</t>
  </si>
  <si>
    <t>ผช.ในตำแหน่ง จพ.ทันต 1 คน</t>
  </si>
  <si>
    <t>จำนวนบุคลากรที่ปฏิบัติงานจริงและความต้องการบุคลากรสำเร็จการศึกษาใหม่หลักสูตรการแพทย์แผนไทยบัณฑิต ( 4 ปี ) ประจำปีงบประมาณ 2566 หน้า 5</t>
  </si>
  <si>
    <t>นวก</t>
  </si>
  <si>
    <t>ผู้ช่วย</t>
  </si>
  <si>
    <t>จ้างเป็น นวก.วุฒิแพทย์แผนไทย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</si>
</sst>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t0.0"/>
    <numFmt numFmtId="192" formatCode="t0.000"/>
    <numFmt numFmtId="193" formatCode="_-* #,##0.0_-;\-* #,##0.0_-;_-* &quot;-&quot;??_-;_-@_-"/>
    <numFmt numFmtId="194" formatCode="_-* #,##0_-;\-* #,##0_-;_-* &quot;-&quot;??_-;_-@_-"/>
    <numFmt numFmtId="195" formatCode="0.0"/>
    <numFmt numFmtId="196" formatCode="#,##0.0"/>
    <numFmt numFmtId="197" formatCode="0.000"/>
    <numFmt numFmtId="198" formatCode="0.00000"/>
    <numFmt numFmtId="199" formatCode="0.0000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9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sz val="18"/>
      <color indexed="8"/>
      <name val="TH SarabunIT๙"/>
      <family val="2"/>
    </font>
    <font>
      <b/>
      <sz val="11"/>
      <color indexed="10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1"/>
      <color rgb="FFFF0000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59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5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59" fontId="3" fillId="33" borderId="0" xfId="0" applyNumberFormat="1" applyFont="1" applyFill="1" applyAlignment="1">
      <alignment/>
    </xf>
    <xf numFmtId="2" fontId="61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60" fillId="33" borderId="0" xfId="0" applyFont="1" applyFill="1" applyAlignment="1">
      <alignment horizontal="center" vertical="center"/>
    </xf>
    <xf numFmtId="59" fontId="61" fillId="33" borderId="10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1" fontId="61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" fontId="3" fillId="33" borderId="0" xfId="0" applyNumberFormat="1" applyFont="1" applyFill="1" applyAlignment="1">
      <alignment/>
    </xf>
    <xf numFmtId="0" fontId="61" fillId="33" borderId="0" xfId="0" applyFont="1" applyFill="1" applyAlignment="1">
      <alignment horizontal="center" vertical="center" wrapText="1"/>
    </xf>
    <xf numFmtId="0" fontId="61" fillId="33" borderId="10" xfId="0" applyFont="1" applyFill="1" applyBorder="1" applyAlignment="1" applyProtection="1">
      <alignment vertical="center" wrapText="1"/>
      <protection/>
    </xf>
    <xf numFmtId="3" fontId="61" fillId="33" borderId="10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vertical="center"/>
    </xf>
    <xf numFmtId="1" fontId="61" fillId="33" borderId="10" xfId="0" applyNumberFormat="1" applyFont="1" applyFill="1" applyBorder="1" applyAlignment="1">
      <alignment vertical="center"/>
    </xf>
    <xf numFmtId="2" fontId="61" fillId="33" borderId="13" xfId="0" applyNumberFormat="1" applyFont="1" applyFill="1" applyBorder="1" applyAlignment="1">
      <alignment vertical="center" wrapText="1"/>
    </xf>
    <xf numFmtId="3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/>
    </xf>
    <xf numFmtId="0" fontId="61" fillId="33" borderId="14" xfId="0" applyFont="1" applyFill="1" applyBorder="1" applyAlignment="1">
      <alignment/>
    </xf>
    <xf numFmtId="1" fontId="61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60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6" fontId="3" fillId="33" borderId="0" xfId="0" applyNumberFormat="1" applyFont="1" applyFill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1" fontId="61" fillId="33" borderId="12" xfId="0" applyNumberFormat="1" applyFont="1" applyFill="1" applyBorder="1" applyAlignment="1">
      <alignment vertical="center"/>
    </xf>
    <xf numFmtId="1" fontId="60" fillId="33" borderId="10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/>
    </xf>
    <xf numFmtId="1" fontId="61" fillId="33" borderId="12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63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1" fontId="61" fillId="13" borderId="10" xfId="0" applyNumberFormat="1" applyFont="1" applyFill="1" applyBorder="1" applyAlignment="1" applyProtection="1">
      <alignment horizontal="center" vertical="center" wrapText="1"/>
      <protection/>
    </xf>
    <xf numFmtId="1" fontId="61" fillId="13" borderId="10" xfId="0" applyNumberFormat="1" applyFont="1" applyFill="1" applyBorder="1" applyAlignment="1">
      <alignment horizontal="center" vertical="center"/>
    </xf>
    <xf numFmtId="1" fontId="61" fillId="13" borderId="10" xfId="0" applyNumberFormat="1" applyFont="1" applyFill="1" applyBorder="1" applyAlignment="1">
      <alignment horizontal="center"/>
    </xf>
    <xf numFmtId="1" fontId="61" fillId="13" borderId="10" xfId="0" applyNumberFormat="1" applyFont="1" applyFill="1" applyBorder="1" applyAlignment="1">
      <alignment/>
    </xf>
    <xf numFmtId="3" fontId="61" fillId="13" borderId="10" xfId="0" applyNumberFormat="1" applyFont="1" applyFill="1" applyBorder="1" applyAlignment="1">
      <alignment horizontal="center"/>
    </xf>
    <xf numFmtId="1" fontId="60" fillId="13" borderId="10" xfId="0" applyNumberFormat="1" applyFont="1" applyFill="1" applyBorder="1" applyAlignment="1">
      <alignment horizontal="center" vertical="center"/>
    </xf>
    <xf numFmtId="3" fontId="3" fillId="13" borderId="10" xfId="0" applyNumberFormat="1" applyFont="1" applyFill="1" applyBorder="1" applyAlignment="1" applyProtection="1">
      <alignment horizontal="center" vertical="center" wrapText="1"/>
      <protection/>
    </xf>
    <xf numFmtId="1" fontId="3" fillId="13" borderId="10" xfId="0" applyNumberFormat="1" applyFont="1" applyFill="1" applyBorder="1" applyAlignment="1">
      <alignment horizontal="center"/>
    </xf>
    <xf numFmtId="3" fontId="3" fillId="13" borderId="10" xfId="0" applyNumberFormat="1" applyFont="1" applyFill="1" applyBorder="1" applyAlignment="1">
      <alignment horizontal="center" vertical="center"/>
    </xf>
    <xf numFmtId="3" fontId="3" fillId="13" borderId="10" xfId="0" applyNumberFormat="1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33" borderId="10" xfId="0" applyFont="1" applyFill="1" applyBorder="1" applyAlignment="1">
      <alignment vertical="center" wrapText="1"/>
    </xf>
    <xf numFmtId="0" fontId="64" fillId="35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4" fillId="34" borderId="10" xfId="0" applyFont="1" applyFill="1" applyBorder="1" applyAlignment="1">
      <alignment vertical="center" wrapText="1"/>
    </xf>
    <xf numFmtId="0" fontId="64" fillId="34" borderId="10" xfId="0" applyFont="1" applyFill="1" applyBorder="1" applyAlignment="1">
      <alignment vertical="center"/>
    </xf>
    <xf numFmtId="0" fontId="64" fillId="34" borderId="0" xfId="0" applyFont="1" applyFill="1" applyAlignment="1">
      <alignment vertical="center"/>
    </xf>
    <xf numFmtId="0" fontId="64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3" fontId="7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0" xfId="0" applyFont="1" applyFill="1" applyBorder="1" applyAlignment="1">
      <alignment/>
    </xf>
    <xf numFmtId="1" fontId="61" fillId="34" borderId="10" xfId="0" applyNumberFormat="1" applyFont="1" applyFill="1" applyBorder="1" applyAlignment="1">
      <alignment horizontal="center" vertical="center"/>
    </xf>
    <xf numFmtId="2" fontId="61" fillId="34" borderId="10" xfId="0" applyNumberFormat="1" applyFont="1" applyFill="1" applyBorder="1" applyAlignment="1">
      <alignment horizontal="center" vertical="center"/>
    </xf>
    <xf numFmtId="2" fontId="61" fillId="34" borderId="13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top" wrapText="1"/>
    </xf>
    <xf numFmtId="0" fontId="61" fillId="33" borderId="0" xfId="0" applyFont="1" applyFill="1" applyAlignment="1">
      <alignment vertical="top"/>
    </xf>
    <xf numFmtId="0" fontId="61" fillId="33" borderId="0" xfId="0" applyFont="1" applyFill="1" applyBorder="1" applyAlignment="1">
      <alignment horizontal="left" vertical="center"/>
    </xf>
    <xf numFmtId="2" fontId="61" fillId="33" borderId="10" xfId="0" applyNumberFormat="1" applyFont="1" applyFill="1" applyBorder="1" applyAlignment="1">
      <alignment horizontal="right" vertical="center"/>
    </xf>
    <xf numFmtId="2" fontId="61" fillId="34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center" vertical="top"/>
    </xf>
    <xf numFmtId="0" fontId="60" fillId="33" borderId="16" xfId="0" applyFont="1" applyFill="1" applyBorder="1" applyAlignment="1">
      <alignment horizontal="center" vertical="top"/>
    </xf>
    <xf numFmtId="0" fontId="60" fillId="33" borderId="14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top" wrapText="1"/>
    </xf>
    <xf numFmtId="0" fontId="60" fillId="33" borderId="16" xfId="0" applyFont="1" applyFill="1" applyBorder="1" applyAlignment="1">
      <alignment horizontal="center" vertical="top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 vertical="top" wrapText="1"/>
    </xf>
    <xf numFmtId="0" fontId="66" fillId="33" borderId="14" xfId="0" applyFont="1" applyFill="1" applyBorder="1" applyAlignment="1">
      <alignment horizontal="center" vertical="top" wrapText="1"/>
    </xf>
    <xf numFmtId="0" fontId="66" fillId="33" borderId="20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0" fontId="65" fillId="33" borderId="12" xfId="0" applyFont="1" applyFill="1" applyBorder="1" applyAlignment="1">
      <alignment horizontal="center" vertical="top" wrapText="1"/>
    </xf>
    <xf numFmtId="0" fontId="65" fillId="33" borderId="16" xfId="0" applyFont="1" applyFill="1" applyBorder="1" applyAlignment="1">
      <alignment horizontal="center" vertical="top" wrapText="1"/>
    </xf>
    <xf numFmtId="0" fontId="65" fillId="33" borderId="14" xfId="0" applyFont="1" applyFill="1" applyBorder="1" applyAlignment="1">
      <alignment horizontal="center" vertical="top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0" width="9.140625" style="76" customWidth="1"/>
    <col min="11" max="11" width="19.140625" style="76" customWidth="1"/>
    <col min="12" max="16384" width="9.140625" style="76" customWidth="1"/>
  </cols>
  <sheetData>
    <row r="1" spans="2:12" s="75" customFormat="1" ht="24">
      <c r="B1" s="154" t="s">
        <v>229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3" ht="24">
      <c r="L3" s="77" t="s">
        <v>18</v>
      </c>
    </row>
    <row r="4" spans="2:12" ht="24">
      <c r="B4" s="76" t="s">
        <v>230</v>
      </c>
      <c r="L4" s="79">
        <v>1</v>
      </c>
    </row>
    <row r="5" spans="2:12" ht="24">
      <c r="B5" s="76" t="s">
        <v>231</v>
      </c>
      <c r="L5" s="79">
        <v>2</v>
      </c>
    </row>
    <row r="6" spans="2:12" ht="24">
      <c r="B6" s="78" t="s">
        <v>232</v>
      </c>
      <c r="L6" s="79">
        <v>3</v>
      </c>
    </row>
    <row r="7" spans="2:12" ht="24">
      <c r="B7" s="78" t="s">
        <v>233</v>
      </c>
      <c r="L7" s="79">
        <v>4</v>
      </c>
    </row>
    <row r="8" spans="2:12" ht="24">
      <c r="B8" s="76" t="s">
        <v>237</v>
      </c>
      <c r="L8" s="79">
        <v>5</v>
      </c>
    </row>
    <row r="9" ht="24">
      <c r="L9" s="79"/>
    </row>
    <row r="10" ht="24">
      <c r="H10" s="76" t="s">
        <v>125</v>
      </c>
    </row>
    <row r="11" ht="24">
      <c r="H11" s="76" t="s">
        <v>258</v>
      </c>
    </row>
  </sheetData>
  <sheetProtection/>
  <mergeCells count="1">
    <mergeCell ref="B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6" sqref="I16"/>
    </sheetView>
  </sheetViews>
  <sheetFormatPr defaultColWidth="9.140625" defaultRowHeight="12.75"/>
  <cols>
    <col min="1" max="1" width="4.421875" style="1" customWidth="1"/>
    <col min="2" max="2" width="37.28125" style="1" bestFit="1" customWidth="1"/>
    <col min="3" max="3" width="6.57421875" style="101" customWidth="1"/>
    <col min="4" max="4" width="6.8515625" style="101" customWidth="1"/>
    <col min="5" max="6" width="5.8515625" style="101" customWidth="1"/>
    <col min="7" max="7" width="8.8515625" style="101" customWidth="1"/>
    <col min="8" max="8" width="5.8515625" style="1" customWidth="1"/>
    <col min="9" max="9" width="6.57421875" style="1" customWidth="1"/>
    <col min="10" max="10" width="47.140625" style="1" customWidth="1"/>
    <col min="11" max="16384" width="9.140625" style="1" customWidth="1"/>
  </cols>
  <sheetData>
    <row r="1" ht="21.75" customHeight="1">
      <c r="J1" s="99" t="s">
        <v>78</v>
      </c>
    </row>
    <row r="2" spans="1:10" s="100" customFormat="1" ht="21.75" customHeight="1">
      <c r="A2" s="155" t="s">
        <v>236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100" customFormat="1" ht="21.75" customHeight="1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s="3" customFormat="1" ht="21.75" customHeight="1">
      <c r="A4" s="156" t="s">
        <v>56</v>
      </c>
      <c r="B4" s="156" t="s">
        <v>1</v>
      </c>
      <c r="C4" s="157" t="s">
        <v>6</v>
      </c>
      <c r="D4" s="156" t="s">
        <v>7</v>
      </c>
      <c r="E4" s="156"/>
      <c r="F4" s="156"/>
      <c r="G4" s="156"/>
      <c r="H4" s="156"/>
      <c r="I4" s="157" t="s">
        <v>22</v>
      </c>
      <c r="J4" s="156" t="s">
        <v>2</v>
      </c>
    </row>
    <row r="5" spans="1:10" s="3" customFormat="1" ht="39" customHeight="1">
      <c r="A5" s="156"/>
      <c r="B5" s="156"/>
      <c r="C5" s="157"/>
      <c r="D5" s="4" t="s">
        <v>48</v>
      </c>
      <c r="E5" s="4" t="s">
        <v>50</v>
      </c>
      <c r="F5" s="4" t="s">
        <v>49</v>
      </c>
      <c r="G5" s="4" t="s">
        <v>79</v>
      </c>
      <c r="H5" s="117" t="s">
        <v>62</v>
      </c>
      <c r="I5" s="157"/>
      <c r="J5" s="156"/>
    </row>
    <row r="6" spans="1:10" s="100" customFormat="1" ht="21.75" customHeight="1">
      <c r="A6" s="15"/>
      <c r="B6" s="5" t="s">
        <v>262</v>
      </c>
      <c r="C6" s="5"/>
      <c r="D6" s="5"/>
      <c r="E6" s="5"/>
      <c r="F6" s="5"/>
      <c r="G6" s="5"/>
      <c r="H6" s="5"/>
      <c r="I6" s="5"/>
      <c r="J6" s="6"/>
    </row>
    <row r="7" spans="1:10" s="97" customFormat="1" ht="24">
      <c r="A7" s="96">
        <v>1</v>
      </c>
      <c r="B7" s="98" t="s">
        <v>122</v>
      </c>
      <c r="C7" s="96">
        <v>1</v>
      </c>
      <c r="D7" s="96">
        <v>1</v>
      </c>
      <c r="E7" s="96"/>
      <c r="F7" s="96"/>
      <c r="G7" s="96"/>
      <c r="H7" s="96"/>
      <c r="I7" s="96">
        <f>SUM(D7:H7)</f>
        <v>1</v>
      </c>
      <c r="J7" s="136" t="s">
        <v>234</v>
      </c>
    </row>
    <row r="8" spans="1:10" ht="21.75" customHeight="1">
      <c r="A8" s="12"/>
      <c r="B8" s="8"/>
      <c r="C8" s="12">
        <v>57</v>
      </c>
      <c r="D8" s="12">
        <v>33</v>
      </c>
      <c r="E8" s="12"/>
      <c r="F8" s="12">
        <v>2</v>
      </c>
      <c r="G8" s="12">
        <v>19</v>
      </c>
      <c r="H8" s="12">
        <v>3</v>
      </c>
      <c r="I8" s="96">
        <v>38</v>
      </c>
      <c r="J8" s="8" t="s">
        <v>4</v>
      </c>
    </row>
    <row r="9" spans="1:10" ht="21.75" customHeight="1">
      <c r="A9" s="12"/>
      <c r="B9" s="8" t="s">
        <v>235</v>
      </c>
      <c r="C9" s="12">
        <v>2</v>
      </c>
      <c r="D9" s="12"/>
      <c r="E9" s="12"/>
      <c r="F9" s="13"/>
      <c r="G9" s="13"/>
      <c r="H9" s="12"/>
      <c r="I9" s="96">
        <f>SUM(D9:H9)</f>
        <v>0</v>
      </c>
      <c r="J9" s="8" t="s">
        <v>4</v>
      </c>
    </row>
    <row r="10" spans="1:10" ht="21.75" customHeight="1">
      <c r="A10" s="73">
        <v>2</v>
      </c>
      <c r="B10" s="72" t="s">
        <v>63</v>
      </c>
      <c r="C10" s="73">
        <v>5</v>
      </c>
      <c r="D10" s="73">
        <v>3</v>
      </c>
      <c r="E10" s="73">
        <v>2</v>
      </c>
      <c r="F10" s="74"/>
      <c r="G10" s="74"/>
      <c r="H10" s="73"/>
      <c r="I10" s="96">
        <f>SUM(D10:H10)</f>
        <v>5</v>
      </c>
      <c r="J10" s="72" t="s">
        <v>123</v>
      </c>
    </row>
    <row r="11" spans="1:12" ht="21.75" customHeight="1">
      <c r="A11" s="12">
        <v>3</v>
      </c>
      <c r="B11" s="8" t="s">
        <v>23</v>
      </c>
      <c r="C11" s="12">
        <v>4</v>
      </c>
      <c r="D11" s="12">
        <v>2</v>
      </c>
      <c r="E11" s="12">
        <v>1</v>
      </c>
      <c r="F11" s="13">
        <v>1</v>
      </c>
      <c r="G11" s="8"/>
      <c r="H11" s="12"/>
      <c r="I11" s="96">
        <f>SUM(D11:H11)</f>
        <v>4</v>
      </c>
      <c r="J11" s="8" t="s">
        <v>5</v>
      </c>
      <c r="L11" s="10"/>
    </row>
    <row r="12" spans="1:12" ht="21.75" customHeight="1">
      <c r="A12" s="12">
        <v>5</v>
      </c>
      <c r="B12" s="8" t="s">
        <v>124</v>
      </c>
      <c r="C12" s="12">
        <v>3</v>
      </c>
      <c r="D12" s="12">
        <v>2</v>
      </c>
      <c r="E12" s="12">
        <v>1</v>
      </c>
      <c r="F12" s="13"/>
      <c r="G12" s="8"/>
      <c r="H12" s="12"/>
      <c r="I12" s="96">
        <f>SUM(D12:H12)</f>
        <v>3</v>
      </c>
      <c r="J12" s="8" t="s">
        <v>5</v>
      </c>
      <c r="L12" s="10"/>
    </row>
    <row r="13" spans="1:10" ht="21.75" customHeight="1">
      <c r="A13" s="12"/>
      <c r="B13" s="9" t="s">
        <v>3</v>
      </c>
      <c r="C13" s="12">
        <f aca="true" t="shared" si="0" ref="C13:H13">SUM(C7:C12)</f>
        <v>72</v>
      </c>
      <c r="D13" s="12">
        <f t="shared" si="0"/>
        <v>41</v>
      </c>
      <c r="E13" s="12">
        <f t="shared" si="0"/>
        <v>4</v>
      </c>
      <c r="F13" s="12">
        <f t="shared" si="0"/>
        <v>3</v>
      </c>
      <c r="G13" s="12">
        <f t="shared" si="0"/>
        <v>19</v>
      </c>
      <c r="H13" s="12">
        <f t="shared" si="0"/>
        <v>3</v>
      </c>
      <c r="I13" s="96">
        <v>51</v>
      </c>
      <c r="J13" s="8"/>
    </row>
    <row r="14" ht="24">
      <c r="B14" s="1" t="s">
        <v>264</v>
      </c>
    </row>
    <row r="15" ht="24">
      <c r="B15" s="1" t="s">
        <v>263</v>
      </c>
    </row>
  </sheetData>
  <sheetProtection/>
  <mergeCells count="8">
    <mergeCell ref="A2:J2"/>
    <mergeCell ref="A3:J3"/>
    <mergeCell ref="D4:H4"/>
    <mergeCell ref="A4:A5"/>
    <mergeCell ref="B4:B5"/>
    <mergeCell ref="C4:C5"/>
    <mergeCell ref="I4:I5"/>
    <mergeCell ref="J4:J5"/>
  </mergeCells>
  <printOptions/>
  <pageMargins left="0.75" right="0.24" top="0.65" bottom="0.5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24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10" sqref="AD10"/>
    </sheetView>
  </sheetViews>
  <sheetFormatPr defaultColWidth="9.140625" defaultRowHeight="24.75" customHeight="1"/>
  <cols>
    <col min="1" max="1" width="14.00390625" style="1" customWidth="1"/>
    <col min="2" max="2" width="5.7109375" style="1" hidden="1" customWidth="1"/>
    <col min="3" max="4" width="7.57421875" style="1" hidden="1" customWidth="1"/>
    <col min="5" max="5" width="6.421875" style="1" customWidth="1"/>
    <col min="6" max="6" width="6.28125" style="2" customWidth="1"/>
    <col min="7" max="7" width="6.8515625" style="1" customWidth="1"/>
    <col min="8" max="8" width="6.28125" style="1" customWidth="1"/>
    <col min="9" max="9" width="7.140625" style="1" customWidth="1"/>
    <col min="10" max="10" width="5.57421875" style="1" customWidth="1"/>
    <col min="11" max="11" width="5.421875" style="1" customWidth="1"/>
    <col min="12" max="12" width="6.421875" style="1" customWidth="1"/>
    <col min="13" max="13" width="6.8515625" style="1" customWidth="1"/>
    <col min="14" max="14" width="7.28125" style="1" customWidth="1"/>
    <col min="15" max="15" width="7.421875" style="1" customWidth="1"/>
    <col min="16" max="16" width="4.57421875" style="1" customWidth="1"/>
    <col min="17" max="17" width="4.421875" style="1" customWidth="1"/>
    <col min="18" max="18" width="4.7109375" style="1" customWidth="1"/>
    <col min="19" max="19" width="4.57421875" style="1" customWidth="1"/>
    <col min="20" max="20" width="4.7109375" style="1" customWidth="1"/>
    <col min="21" max="21" width="7.57421875" style="1" customWidth="1"/>
    <col min="22" max="22" width="3.8515625" style="1" customWidth="1"/>
    <col min="23" max="23" width="4.421875" style="1" customWidth="1"/>
    <col min="24" max="24" width="4.28125" style="1" customWidth="1"/>
    <col min="25" max="25" width="8.7109375" style="1" hidden="1" customWidth="1"/>
    <col min="26" max="26" width="6.7109375" style="1" hidden="1" customWidth="1"/>
    <col min="27" max="27" width="5.140625" style="1" customWidth="1"/>
    <col min="28" max="28" width="13.7109375" style="1" customWidth="1"/>
    <col min="29" max="31" width="9.140625" style="1" customWidth="1"/>
    <col min="32" max="32" width="9.140625" style="101" customWidth="1"/>
    <col min="33" max="16384" width="9.140625" style="1" customWidth="1"/>
  </cols>
  <sheetData>
    <row r="1" ht="4.5" customHeight="1">
      <c r="W1" s="1" t="s">
        <v>58</v>
      </c>
    </row>
    <row r="2" spans="1:23" ht="24.75" customHeight="1">
      <c r="A2" s="165" t="s">
        <v>238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22" t="s">
        <v>97</v>
      </c>
    </row>
    <row r="3" spans="1:27" ht="18.75" customHeight="1">
      <c r="A3" s="23">
        <v>1</v>
      </c>
      <c r="B3" s="23">
        <v>2</v>
      </c>
      <c r="C3" s="23"/>
      <c r="D3" s="23"/>
      <c r="E3" s="23">
        <v>2</v>
      </c>
      <c r="F3" s="23">
        <v>3</v>
      </c>
      <c r="G3" s="23">
        <v>4</v>
      </c>
      <c r="H3" s="24">
        <v>5</v>
      </c>
      <c r="I3" s="23">
        <v>6</v>
      </c>
      <c r="J3" s="23">
        <v>7</v>
      </c>
      <c r="K3" s="23">
        <v>8</v>
      </c>
      <c r="L3" s="24">
        <v>9</v>
      </c>
      <c r="M3" s="23">
        <v>10</v>
      </c>
      <c r="N3" s="23">
        <v>11</v>
      </c>
      <c r="O3" s="23">
        <v>12</v>
      </c>
      <c r="P3" s="24">
        <v>13</v>
      </c>
      <c r="Q3" s="23">
        <v>14</v>
      </c>
      <c r="R3" s="23">
        <v>15</v>
      </c>
      <c r="S3" s="23">
        <v>16</v>
      </c>
      <c r="T3" s="24">
        <v>17</v>
      </c>
      <c r="U3" s="23">
        <v>18</v>
      </c>
      <c r="V3" s="23">
        <v>19</v>
      </c>
      <c r="W3" s="23">
        <v>20</v>
      </c>
      <c r="X3" s="24">
        <v>21</v>
      </c>
      <c r="Y3" s="23">
        <v>22</v>
      </c>
      <c r="Z3" s="23">
        <v>23</v>
      </c>
      <c r="AA3" s="23"/>
    </row>
    <row r="4" spans="1:27" ht="20.25" customHeight="1">
      <c r="A4" s="156" t="s">
        <v>34</v>
      </c>
      <c r="B4" s="156" t="s">
        <v>28</v>
      </c>
      <c r="C4" s="156" t="s">
        <v>29</v>
      </c>
      <c r="D4" s="156" t="s">
        <v>51</v>
      </c>
      <c r="E4" s="171" t="s">
        <v>20</v>
      </c>
      <c r="F4" s="172"/>
      <c r="G4" s="172"/>
      <c r="H4" s="172"/>
      <c r="I4" s="173"/>
      <c r="J4" s="171" t="s">
        <v>21</v>
      </c>
      <c r="K4" s="172"/>
      <c r="L4" s="172"/>
      <c r="M4" s="172"/>
      <c r="N4" s="173"/>
      <c r="O4" s="162" t="s">
        <v>69</v>
      </c>
      <c r="P4" s="158" t="s">
        <v>65</v>
      </c>
      <c r="Q4" s="159"/>
      <c r="R4" s="160" t="s">
        <v>68</v>
      </c>
      <c r="S4" s="168" t="s">
        <v>53</v>
      </c>
      <c r="T4" s="170"/>
      <c r="U4" s="166" t="s">
        <v>75</v>
      </c>
      <c r="V4" s="168" t="s">
        <v>255</v>
      </c>
      <c r="W4" s="169"/>
      <c r="X4" s="170"/>
      <c r="AA4" s="163" t="s">
        <v>47</v>
      </c>
    </row>
    <row r="5" spans="1:34" s="26" customFormat="1" ht="95.25" customHeight="1">
      <c r="A5" s="156"/>
      <c r="B5" s="156"/>
      <c r="C5" s="156"/>
      <c r="D5" s="156"/>
      <c r="E5" s="51" t="s">
        <v>91</v>
      </c>
      <c r="F5" s="51" t="s">
        <v>90</v>
      </c>
      <c r="G5" s="53" t="s">
        <v>74</v>
      </c>
      <c r="H5" s="50" t="s">
        <v>54</v>
      </c>
      <c r="I5" s="84" t="s">
        <v>64</v>
      </c>
      <c r="J5" s="82" t="s">
        <v>91</v>
      </c>
      <c r="K5" s="82" t="s">
        <v>90</v>
      </c>
      <c r="L5" s="80" t="s">
        <v>74</v>
      </c>
      <c r="M5" s="50" t="s">
        <v>54</v>
      </c>
      <c r="N5" s="83" t="s">
        <v>64</v>
      </c>
      <c r="O5" s="162"/>
      <c r="P5" s="81" t="s">
        <v>67</v>
      </c>
      <c r="Q5" s="81" t="s">
        <v>66</v>
      </c>
      <c r="R5" s="161"/>
      <c r="S5" s="52" t="s">
        <v>20</v>
      </c>
      <c r="T5" s="81" t="s">
        <v>21</v>
      </c>
      <c r="U5" s="167"/>
      <c r="V5" s="52" t="s">
        <v>20</v>
      </c>
      <c r="W5" s="3" t="s">
        <v>21</v>
      </c>
      <c r="X5" s="50" t="s">
        <v>3</v>
      </c>
      <c r="Y5" s="27" t="s">
        <v>59</v>
      </c>
      <c r="Z5" s="28">
        <v>2500</v>
      </c>
      <c r="AA5" s="164"/>
      <c r="AF5" s="27" t="s">
        <v>261</v>
      </c>
      <c r="AG5" s="27" t="s">
        <v>259</v>
      </c>
      <c r="AH5" s="27" t="s">
        <v>260</v>
      </c>
    </row>
    <row r="6" spans="1:217" ht="24" customHeight="1">
      <c r="A6" s="30" t="s">
        <v>36</v>
      </c>
      <c r="B6" s="31" t="s">
        <v>31</v>
      </c>
      <c r="C6" s="31">
        <v>483</v>
      </c>
      <c r="D6" s="31">
        <v>509</v>
      </c>
      <c r="E6" s="71">
        <v>697</v>
      </c>
      <c r="F6" s="46">
        <f>697*80/100</f>
        <v>557.6</v>
      </c>
      <c r="G6" s="106">
        <v>543</v>
      </c>
      <c r="H6" s="14">
        <f>E6-G6</f>
        <v>154</v>
      </c>
      <c r="I6" s="11">
        <f>H6/E6*100</f>
        <v>22.094691535150645</v>
      </c>
      <c r="J6" s="14">
        <f>119-29</f>
        <v>90</v>
      </c>
      <c r="K6" s="46">
        <f>90*80/100</f>
        <v>72</v>
      </c>
      <c r="L6" s="106">
        <v>31</v>
      </c>
      <c r="M6" s="14">
        <f>J6-L6</f>
        <v>59</v>
      </c>
      <c r="N6" s="11">
        <f>M6/J6*100</f>
        <v>65.55555555555556</v>
      </c>
      <c r="O6" s="11">
        <f>(H6+M6)/(E6+J6)*100</f>
        <v>27.064803049555273</v>
      </c>
      <c r="P6" s="107"/>
      <c r="Q6" s="107"/>
      <c r="R6" s="107"/>
      <c r="S6" s="107">
        <v>20</v>
      </c>
      <c r="T6" s="107">
        <v>0</v>
      </c>
      <c r="U6" s="11">
        <f>O6*38/321.61</f>
        <v>3.197856148388111</v>
      </c>
      <c r="V6" s="14"/>
      <c r="W6" s="14"/>
      <c r="X6" s="14">
        <f>SUM(V6:W6)</f>
        <v>0</v>
      </c>
      <c r="Y6" s="33">
        <v>188899</v>
      </c>
      <c r="Z6" s="92">
        <f>Y6/Z$5</f>
        <v>75.5596</v>
      </c>
      <c r="AA6" s="33"/>
      <c r="AB6" s="32" t="s">
        <v>257</v>
      </c>
      <c r="AC6" s="32"/>
      <c r="AD6" s="32"/>
      <c r="AE6" s="32"/>
      <c r="AF6" s="145">
        <v>7</v>
      </c>
      <c r="AG6" s="145">
        <v>1</v>
      </c>
      <c r="AH6" s="145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</row>
    <row r="7" spans="1:34" s="34" customFormat="1" ht="24" customHeight="1">
      <c r="A7" s="30" t="s">
        <v>37</v>
      </c>
      <c r="B7" s="9" t="s">
        <v>24</v>
      </c>
      <c r="C7" s="9">
        <v>180</v>
      </c>
      <c r="D7" s="9">
        <v>90</v>
      </c>
      <c r="E7" s="25">
        <v>242</v>
      </c>
      <c r="F7" s="21">
        <f>242*80/100</f>
        <v>193.6</v>
      </c>
      <c r="G7" s="108">
        <v>154</v>
      </c>
      <c r="H7" s="14">
        <f aca="true" t="shared" si="0" ref="H7:H17">E7-G7</f>
        <v>88</v>
      </c>
      <c r="I7" s="11">
        <f aca="true" t="shared" si="1" ref="I7:I17">H7/E7*100</f>
        <v>36.36363636363637</v>
      </c>
      <c r="J7" s="14">
        <f>90-25</f>
        <v>65</v>
      </c>
      <c r="K7" s="46">
        <f>65*80/100</f>
        <v>52</v>
      </c>
      <c r="L7" s="106">
        <v>20</v>
      </c>
      <c r="M7" s="14">
        <f aca="true" t="shared" si="2" ref="M7:M17">J7-L7</f>
        <v>45</v>
      </c>
      <c r="N7" s="11">
        <f aca="true" t="shared" si="3" ref="N7:N17">M7/J7*100</f>
        <v>69.23076923076923</v>
      </c>
      <c r="O7" s="11">
        <f aca="true" t="shared" si="4" ref="O7:O17">(H7+M7)/(E7+J7)*100</f>
        <v>43.32247557003257</v>
      </c>
      <c r="P7" s="107"/>
      <c r="Q7" s="107">
        <v>11</v>
      </c>
      <c r="R7" s="107"/>
      <c r="S7" s="107">
        <v>3</v>
      </c>
      <c r="T7" s="107">
        <v>10</v>
      </c>
      <c r="U7" s="11">
        <f aca="true" t="shared" si="5" ref="U7:U16">O7*38/321.61</f>
        <v>5.118790061444724</v>
      </c>
      <c r="V7" s="93"/>
      <c r="W7" s="93"/>
      <c r="X7" s="14">
        <f>SUM(V7:W7)</f>
        <v>0</v>
      </c>
      <c r="Y7" s="47">
        <v>98150</v>
      </c>
      <c r="Z7" s="92">
        <f>Y7/Z$5</f>
        <v>39.26</v>
      </c>
      <c r="AA7" s="47"/>
      <c r="AF7" s="56"/>
      <c r="AG7" s="56"/>
      <c r="AH7" s="56"/>
    </row>
    <row r="8" spans="1:34" s="34" customFormat="1" ht="24" customHeight="1">
      <c r="A8" s="30" t="s">
        <v>38</v>
      </c>
      <c r="B8" s="31" t="s">
        <v>24</v>
      </c>
      <c r="C8" s="31">
        <v>122</v>
      </c>
      <c r="D8" s="31">
        <v>90</v>
      </c>
      <c r="E8" s="71">
        <v>162</v>
      </c>
      <c r="F8" s="46">
        <f>162*80/100</f>
        <v>129.6</v>
      </c>
      <c r="G8" s="106">
        <v>158</v>
      </c>
      <c r="H8" s="14">
        <f t="shared" si="0"/>
        <v>4</v>
      </c>
      <c r="I8" s="11">
        <f t="shared" si="1"/>
        <v>2.4691358024691357</v>
      </c>
      <c r="J8" s="14">
        <f>162-32</f>
        <v>130</v>
      </c>
      <c r="K8" s="46">
        <f>130*80/100</f>
        <v>104</v>
      </c>
      <c r="L8" s="106">
        <v>66</v>
      </c>
      <c r="M8" s="14">
        <f t="shared" si="2"/>
        <v>64</v>
      </c>
      <c r="N8" s="11">
        <f t="shared" si="3"/>
        <v>49.23076923076923</v>
      </c>
      <c r="O8" s="11">
        <f t="shared" si="4"/>
        <v>23.28767123287671</v>
      </c>
      <c r="P8" s="107"/>
      <c r="Q8" s="107"/>
      <c r="R8" s="107"/>
      <c r="S8" s="107">
        <v>5</v>
      </c>
      <c r="T8" s="111">
        <v>2</v>
      </c>
      <c r="U8" s="11">
        <f t="shared" si="5"/>
        <v>2.751567136747349</v>
      </c>
      <c r="V8" s="93"/>
      <c r="W8" s="93"/>
      <c r="X8" s="14">
        <f aca="true" t="shared" si="6" ref="X8:X17">SUM(V8:W8)</f>
        <v>0</v>
      </c>
      <c r="Y8" s="47">
        <v>145680</v>
      </c>
      <c r="Z8" s="92">
        <f>Y8/Z$5</f>
        <v>58.272</v>
      </c>
      <c r="AA8" s="47"/>
      <c r="AF8" s="56">
        <v>3</v>
      </c>
      <c r="AG8" s="56">
        <v>4</v>
      </c>
      <c r="AH8" s="56">
        <v>4</v>
      </c>
    </row>
    <row r="9" spans="1:34" ht="24" customHeight="1">
      <c r="A9" s="30" t="s">
        <v>39</v>
      </c>
      <c r="B9" s="31" t="s">
        <v>25</v>
      </c>
      <c r="C9" s="31">
        <v>90</v>
      </c>
      <c r="D9" s="31">
        <v>60</v>
      </c>
      <c r="E9" s="71">
        <v>120</v>
      </c>
      <c r="F9" s="46">
        <f>120*80/100</f>
        <v>96</v>
      </c>
      <c r="G9" s="110">
        <v>98</v>
      </c>
      <c r="H9" s="14">
        <f t="shared" si="0"/>
        <v>22</v>
      </c>
      <c r="I9" s="11">
        <f t="shared" si="1"/>
        <v>18.333333333333332</v>
      </c>
      <c r="J9" s="14">
        <f>76-16</f>
        <v>60</v>
      </c>
      <c r="K9" s="46">
        <f>60*80/100</f>
        <v>48</v>
      </c>
      <c r="L9" s="106">
        <v>23</v>
      </c>
      <c r="M9" s="14">
        <f t="shared" si="2"/>
        <v>37</v>
      </c>
      <c r="N9" s="11">
        <f t="shared" si="3"/>
        <v>61.66666666666667</v>
      </c>
      <c r="O9" s="11">
        <f t="shared" si="4"/>
        <v>32.77777777777778</v>
      </c>
      <c r="P9" s="107"/>
      <c r="Q9" s="107"/>
      <c r="R9" s="107"/>
      <c r="S9" s="107">
        <v>6</v>
      </c>
      <c r="T9" s="107">
        <v>5</v>
      </c>
      <c r="U9" s="11">
        <f t="shared" si="5"/>
        <v>3.872875705219227</v>
      </c>
      <c r="V9" s="21"/>
      <c r="W9" s="21"/>
      <c r="X9" s="14">
        <f t="shared" si="6"/>
        <v>0</v>
      </c>
      <c r="Y9" s="94">
        <v>98490</v>
      </c>
      <c r="Z9" s="92">
        <f>Y9/Z$5</f>
        <v>39.396</v>
      </c>
      <c r="AA9" s="40"/>
      <c r="AF9" s="9">
        <v>2</v>
      </c>
      <c r="AG9" s="9">
        <v>2</v>
      </c>
      <c r="AH9" s="9">
        <v>5</v>
      </c>
    </row>
    <row r="10" spans="1:34" ht="24" customHeight="1">
      <c r="A10" s="30" t="s">
        <v>40</v>
      </c>
      <c r="B10" s="31" t="s">
        <v>25</v>
      </c>
      <c r="C10" s="31">
        <v>81</v>
      </c>
      <c r="D10" s="31">
        <v>60</v>
      </c>
      <c r="E10" s="71">
        <v>102</v>
      </c>
      <c r="F10" s="46">
        <f>102*80/100</f>
        <v>81.6</v>
      </c>
      <c r="G10" s="106">
        <v>111</v>
      </c>
      <c r="H10" s="140">
        <f t="shared" si="0"/>
        <v>-9</v>
      </c>
      <c r="I10" s="141">
        <f t="shared" si="1"/>
        <v>-8.823529411764707</v>
      </c>
      <c r="J10" s="14">
        <v>2</v>
      </c>
      <c r="K10" s="46">
        <v>2</v>
      </c>
      <c r="L10" s="106">
        <v>0</v>
      </c>
      <c r="M10" s="14">
        <f t="shared" si="2"/>
        <v>2</v>
      </c>
      <c r="N10" s="11">
        <f t="shared" si="3"/>
        <v>100</v>
      </c>
      <c r="O10" s="11">
        <f t="shared" si="4"/>
        <v>-6.730769230769231</v>
      </c>
      <c r="P10" s="107"/>
      <c r="Q10" s="107"/>
      <c r="R10" s="107"/>
      <c r="S10" s="107">
        <v>0</v>
      </c>
      <c r="T10" s="108">
        <v>0</v>
      </c>
      <c r="U10" s="11">
        <f t="shared" si="5"/>
        <v>-0.7952776057001671</v>
      </c>
      <c r="V10" s="21"/>
      <c r="W10" s="21"/>
      <c r="X10" s="14">
        <f t="shared" si="6"/>
        <v>0</v>
      </c>
      <c r="Y10" s="18">
        <v>55754</v>
      </c>
      <c r="Z10" s="92">
        <f>Y10/Z$5</f>
        <v>22.3016</v>
      </c>
      <c r="AA10" s="18"/>
      <c r="AF10" s="9">
        <v>2</v>
      </c>
      <c r="AG10" s="9">
        <v>1</v>
      </c>
      <c r="AH10" s="9">
        <v>3</v>
      </c>
    </row>
    <row r="11" spans="1:34" ht="24" customHeight="1">
      <c r="A11" s="30" t="s">
        <v>41</v>
      </c>
      <c r="B11" s="31" t="s">
        <v>26</v>
      </c>
      <c r="C11" s="31">
        <v>59</v>
      </c>
      <c r="D11" s="31">
        <v>60</v>
      </c>
      <c r="E11" s="71">
        <v>83</v>
      </c>
      <c r="F11" s="46">
        <f>83*80/100</f>
        <v>66.4</v>
      </c>
      <c r="G11" s="106">
        <v>64</v>
      </c>
      <c r="H11" s="14">
        <f t="shared" si="0"/>
        <v>19</v>
      </c>
      <c r="I11" s="11">
        <f t="shared" si="1"/>
        <v>22.89156626506024</v>
      </c>
      <c r="J11" s="14">
        <f>47-7</f>
        <v>40</v>
      </c>
      <c r="K11" s="46">
        <f>40*80/100</f>
        <v>32</v>
      </c>
      <c r="L11" s="106">
        <v>18</v>
      </c>
      <c r="M11" s="14">
        <f t="shared" si="2"/>
        <v>22</v>
      </c>
      <c r="N11" s="11">
        <f t="shared" si="3"/>
        <v>55.00000000000001</v>
      </c>
      <c r="O11" s="11">
        <f t="shared" si="4"/>
        <v>33.33333333333333</v>
      </c>
      <c r="P11" s="107"/>
      <c r="Q11" s="107">
        <v>3</v>
      </c>
      <c r="R11" s="107"/>
      <c r="S11" s="107">
        <v>6</v>
      </c>
      <c r="T11" s="108">
        <v>4</v>
      </c>
      <c r="U11" s="11">
        <f t="shared" si="5"/>
        <v>3.938517666324637</v>
      </c>
      <c r="V11" s="21"/>
      <c r="W11" s="21"/>
      <c r="X11" s="14">
        <f t="shared" si="6"/>
        <v>0</v>
      </c>
      <c r="Y11" s="18">
        <v>57629</v>
      </c>
      <c r="Z11" s="92">
        <f aca="true" t="shared" si="7" ref="Z11:Z16">Y11/Z$5</f>
        <v>23.0516</v>
      </c>
      <c r="AA11" s="18"/>
      <c r="AF11" s="9"/>
      <c r="AG11" s="9">
        <v>1</v>
      </c>
      <c r="AH11" s="9">
        <v>3</v>
      </c>
    </row>
    <row r="12" spans="1:34" ht="24" customHeight="1">
      <c r="A12" s="30" t="s">
        <v>42</v>
      </c>
      <c r="B12" s="31" t="s">
        <v>26</v>
      </c>
      <c r="C12" s="31">
        <v>56</v>
      </c>
      <c r="D12" s="31">
        <v>60</v>
      </c>
      <c r="E12" s="71">
        <v>78</v>
      </c>
      <c r="F12" s="46">
        <f>78*80/100</f>
        <v>62.4</v>
      </c>
      <c r="G12" s="106">
        <v>62</v>
      </c>
      <c r="H12" s="14">
        <f t="shared" si="0"/>
        <v>16</v>
      </c>
      <c r="I12" s="11">
        <f t="shared" si="1"/>
        <v>20.51282051282051</v>
      </c>
      <c r="J12" s="14">
        <f>61-11</f>
        <v>50</v>
      </c>
      <c r="K12" s="46">
        <f>50*80/100</f>
        <v>40</v>
      </c>
      <c r="L12" s="106">
        <v>18</v>
      </c>
      <c r="M12" s="14">
        <f t="shared" si="2"/>
        <v>32</v>
      </c>
      <c r="N12" s="11">
        <f t="shared" si="3"/>
        <v>64</v>
      </c>
      <c r="O12" s="11">
        <f t="shared" si="4"/>
        <v>37.5</v>
      </c>
      <c r="P12" s="107">
        <v>2</v>
      </c>
      <c r="Q12" s="107"/>
      <c r="R12" s="107"/>
      <c r="S12" s="107">
        <v>6</v>
      </c>
      <c r="T12" s="108">
        <v>2</v>
      </c>
      <c r="U12" s="11">
        <f t="shared" si="5"/>
        <v>4.430832374615217</v>
      </c>
      <c r="V12" s="21"/>
      <c r="W12" s="21"/>
      <c r="X12" s="14">
        <f t="shared" si="6"/>
        <v>0</v>
      </c>
      <c r="Y12" s="18">
        <v>70143</v>
      </c>
      <c r="Z12" s="92">
        <f t="shared" si="7"/>
        <v>28.0572</v>
      </c>
      <c r="AA12" s="18"/>
      <c r="AB12" s="139" t="s">
        <v>253</v>
      </c>
      <c r="AF12" s="9">
        <v>2</v>
      </c>
      <c r="AG12" s="9"/>
      <c r="AH12" s="9"/>
    </row>
    <row r="13" spans="1:34" ht="23.25" customHeight="1">
      <c r="A13" s="30" t="s">
        <v>43</v>
      </c>
      <c r="B13" s="31" t="s">
        <v>26</v>
      </c>
      <c r="C13" s="31">
        <v>34</v>
      </c>
      <c r="D13" s="31">
        <v>30</v>
      </c>
      <c r="E13" s="71">
        <v>65</v>
      </c>
      <c r="F13" s="46">
        <f>65*80/100</f>
        <v>52</v>
      </c>
      <c r="G13" s="106">
        <v>62</v>
      </c>
      <c r="H13" s="14">
        <f t="shared" si="0"/>
        <v>3</v>
      </c>
      <c r="I13" s="11">
        <f t="shared" si="1"/>
        <v>4.615384615384616</v>
      </c>
      <c r="J13" s="14">
        <f>46-12</f>
        <v>34</v>
      </c>
      <c r="K13" s="46">
        <f>34*80/100</f>
        <v>27.2</v>
      </c>
      <c r="L13" s="106">
        <v>17</v>
      </c>
      <c r="M13" s="14">
        <f t="shared" si="2"/>
        <v>17</v>
      </c>
      <c r="N13" s="11">
        <f t="shared" si="3"/>
        <v>50</v>
      </c>
      <c r="O13" s="11">
        <f t="shared" si="4"/>
        <v>20.2020202020202</v>
      </c>
      <c r="P13" s="107">
        <v>1</v>
      </c>
      <c r="Q13" s="107">
        <v>4</v>
      </c>
      <c r="R13" s="107"/>
      <c r="S13" s="107">
        <v>5</v>
      </c>
      <c r="T13" s="108">
        <v>3</v>
      </c>
      <c r="U13" s="11">
        <f t="shared" si="5"/>
        <v>2.3869804038331135</v>
      </c>
      <c r="V13" s="21"/>
      <c r="W13" s="21"/>
      <c r="X13" s="14">
        <f t="shared" si="6"/>
        <v>0</v>
      </c>
      <c r="Y13" s="18">
        <v>54774</v>
      </c>
      <c r="Z13" s="92">
        <f t="shared" si="7"/>
        <v>21.9096</v>
      </c>
      <c r="AA13" s="18"/>
      <c r="AB13" s="1" t="s">
        <v>254</v>
      </c>
      <c r="AF13" s="9">
        <v>1</v>
      </c>
      <c r="AG13" s="9"/>
      <c r="AH13" s="9"/>
    </row>
    <row r="14" spans="1:34" ht="23.25" customHeight="1">
      <c r="A14" s="30" t="s">
        <v>44</v>
      </c>
      <c r="B14" s="31" t="s">
        <v>26</v>
      </c>
      <c r="C14" s="31">
        <v>28</v>
      </c>
      <c r="D14" s="31">
        <v>30</v>
      </c>
      <c r="E14" s="71">
        <v>46</v>
      </c>
      <c r="F14" s="46">
        <f>46*80/100</f>
        <v>36.8</v>
      </c>
      <c r="G14" s="106">
        <v>44</v>
      </c>
      <c r="H14" s="14">
        <f t="shared" si="0"/>
        <v>2</v>
      </c>
      <c r="I14" s="11">
        <f t="shared" si="1"/>
        <v>4.3478260869565215</v>
      </c>
      <c r="J14" s="14">
        <f>37-11</f>
        <v>26</v>
      </c>
      <c r="K14" s="46">
        <f>26*80/100</f>
        <v>20.8</v>
      </c>
      <c r="L14" s="106">
        <v>7</v>
      </c>
      <c r="M14" s="14">
        <f t="shared" si="2"/>
        <v>19</v>
      </c>
      <c r="N14" s="11">
        <f t="shared" si="3"/>
        <v>73.07692307692307</v>
      </c>
      <c r="O14" s="11">
        <f t="shared" si="4"/>
        <v>29.166666666666668</v>
      </c>
      <c r="P14" s="107"/>
      <c r="Q14" s="107">
        <v>5</v>
      </c>
      <c r="R14" s="107"/>
      <c r="S14" s="107">
        <v>2</v>
      </c>
      <c r="T14" s="108">
        <v>2</v>
      </c>
      <c r="U14" s="11">
        <f t="shared" si="5"/>
        <v>3.4462029580340583</v>
      </c>
      <c r="V14" s="21"/>
      <c r="W14" s="21"/>
      <c r="X14" s="14">
        <f t="shared" si="6"/>
        <v>0</v>
      </c>
      <c r="Y14" s="18">
        <v>28417</v>
      </c>
      <c r="Z14" s="92">
        <f t="shared" si="7"/>
        <v>11.3668</v>
      </c>
      <c r="AA14" s="18"/>
      <c r="AB14" s="1" t="s">
        <v>256</v>
      </c>
      <c r="AF14" s="9"/>
      <c r="AG14" s="9">
        <v>1</v>
      </c>
      <c r="AH14" s="9"/>
    </row>
    <row r="15" spans="1:34" ht="23.25" customHeight="1">
      <c r="A15" s="30" t="s">
        <v>45</v>
      </c>
      <c r="B15" s="31" t="s">
        <v>26</v>
      </c>
      <c r="C15" s="31">
        <v>26</v>
      </c>
      <c r="D15" s="31">
        <v>30</v>
      </c>
      <c r="E15" s="71">
        <v>48</v>
      </c>
      <c r="F15" s="46">
        <f>48*80/100</f>
        <v>38.4</v>
      </c>
      <c r="G15" s="106">
        <v>41</v>
      </c>
      <c r="H15" s="14">
        <f t="shared" si="0"/>
        <v>7</v>
      </c>
      <c r="I15" s="11">
        <f t="shared" si="1"/>
        <v>14.583333333333334</v>
      </c>
      <c r="J15" s="14">
        <f>44-4</f>
        <v>40</v>
      </c>
      <c r="K15" s="46">
        <f>40*80/100</f>
        <v>32</v>
      </c>
      <c r="L15" s="106">
        <v>14</v>
      </c>
      <c r="M15" s="14">
        <f t="shared" si="2"/>
        <v>26</v>
      </c>
      <c r="N15" s="11">
        <f t="shared" si="3"/>
        <v>65</v>
      </c>
      <c r="O15" s="11">
        <f t="shared" si="4"/>
        <v>37.5</v>
      </c>
      <c r="P15" s="107"/>
      <c r="Q15" s="107">
        <v>5</v>
      </c>
      <c r="R15" s="107"/>
      <c r="S15" s="107">
        <v>7</v>
      </c>
      <c r="T15" s="108">
        <v>1</v>
      </c>
      <c r="U15" s="11">
        <f t="shared" si="5"/>
        <v>4.430832374615217</v>
      </c>
      <c r="V15" s="21"/>
      <c r="W15" s="21"/>
      <c r="X15" s="14">
        <f t="shared" si="6"/>
        <v>0</v>
      </c>
      <c r="Y15" s="18">
        <v>31277</v>
      </c>
      <c r="Z15" s="92">
        <f t="shared" si="7"/>
        <v>12.5108</v>
      </c>
      <c r="AA15" s="18"/>
      <c r="AB15" s="137" t="s">
        <v>249</v>
      </c>
      <c r="AC15" s="137" t="s">
        <v>250</v>
      </c>
      <c r="AF15" s="9">
        <v>2</v>
      </c>
      <c r="AG15" s="9">
        <v>3</v>
      </c>
      <c r="AH15" s="9"/>
    </row>
    <row r="16" spans="1:34" ht="23.25" customHeight="1">
      <c r="A16" s="30" t="s">
        <v>46</v>
      </c>
      <c r="B16" s="31" t="s">
        <v>27</v>
      </c>
      <c r="C16" s="31">
        <v>7</v>
      </c>
      <c r="D16" s="31">
        <v>10</v>
      </c>
      <c r="E16" s="71">
        <v>30</v>
      </c>
      <c r="F16" s="46">
        <f>30*80/100</f>
        <v>24</v>
      </c>
      <c r="G16" s="106">
        <v>21</v>
      </c>
      <c r="H16" s="14">
        <f t="shared" si="0"/>
        <v>9</v>
      </c>
      <c r="I16" s="11">
        <f t="shared" si="1"/>
        <v>30</v>
      </c>
      <c r="J16" s="14">
        <f>18-5</f>
        <v>13</v>
      </c>
      <c r="K16" s="46">
        <f>18*80/100</f>
        <v>14.4</v>
      </c>
      <c r="L16" s="106">
        <v>3</v>
      </c>
      <c r="M16" s="14">
        <f t="shared" si="2"/>
        <v>10</v>
      </c>
      <c r="N16" s="11">
        <f t="shared" si="3"/>
        <v>76.92307692307693</v>
      </c>
      <c r="O16" s="11">
        <f t="shared" si="4"/>
        <v>44.18604651162791</v>
      </c>
      <c r="P16" s="107"/>
      <c r="Q16" s="107">
        <v>2</v>
      </c>
      <c r="R16" s="107"/>
      <c r="S16" s="107">
        <v>5</v>
      </c>
      <c r="T16" s="108">
        <v>1</v>
      </c>
      <c r="U16" s="11">
        <f t="shared" si="5"/>
        <v>5.220825743732659</v>
      </c>
      <c r="V16" s="21"/>
      <c r="W16" s="21"/>
      <c r="X16" s="14">
        <f t="shared" si="6"/>
        <v>0</v>
      </c>
      <c r="Y16" s="18">
        <v>12116</v>
      </c>
      <c r="Z16" s="92">
        <f t="shared" si="7"/>
        <v>4.8464</v>
      </c>
      <c r="AA16" s="18"/>
      <c r="AF16" s="9"/>
      <c r="AG16" s="9">
        <v>2</v>
      </c>
      <c r="AH16" s="9"/>
    </row>
    <row r="17" spans="1:34" ht="23.25" customHeight="1">
      <c r="A17" s="7"/>
      <c r="B17" s="9"/>
      <c r="C17" s="9">
        <f>SUM(C6:C16)</f>
        <v>1166</v>
      </c>
      <c r="D17" s="9">
        <f>SUM(D6:D16)</f>
        <v>1029</v>
      </c>
      <c r="E17" s="25">
        <f>SUM(E6:E16)</f>
        <v>1673</v>
      </c>
      <c r="F17" s="21">
        <f>SUM(F6:F16)</f>
        <v>1338.4000000000003</v>
      </c>
      <c r="G17" s="108">
        <f>SUM(G6:G16)</f>
        <v>1358</v>
      </c>
      <c r="H17" s="14">
        <f t="shared" si="0"/>
        <v>315</v>
      </c>
      <c r="I17" s="11">
        <f t="shared" si="1"/>
        <v>18.828451882845187</v>
      </c>
      <c r="J17" s="14">
        <f>SUM(J6:J16)</f>
        <v>550</v>
      </c>
      <c r="K17" s="21">
        <f>SUM(K6:K16)</f>
        <v>444.4</v>
      </c>
      <c r="L17" s="108">
        <f>SUM(L6:L16)</f>
        <v>217</v>
      </c>
      <c r="M17" s="14">
        <f t="shared" si="2"/>
        <v>333</v>
      </c>
      <c r="N17" s="11">
        <f t="shared" si="3"/>
        <v>60.54545454545455</v>
      </c>
      <c r="O17" s="11">
        <f t="shared" si="4"/>
        <v>29.1497975708502</v>
      </c>
      <c r="P17" s="107">
        <f aca="true" t="shared" si="8" ref="P17:Z17">SUM(P6:P16)</f>
        <v>3</v>
      </c>
      <c r="Q17" s="107">
        <f t="shared" si="8"/>
        <v>30</v>
      </c>
      <c r="R17" s="107">
        <f t="shared" si="8"/>
        <v>0</v>
      </c>
      <c r="S17" s="107">
        <f>SUM(S6:S16)</f>
        <v>65</v>
      </c>
      <c r="T17" s="107">
        <f>SUM(T6:T16)</f>
        <v>30</v>
      </c>
      <c r="U17" s="11">
        <f>SUM(U6:U16)</f>
        <v>38.00000296725415</v>
      </c>
      <c r="V17" s="14">
        <f t="shared" si="8"/>
        <v>0</v>
      </c>
      <c r="W17" s="14">
        <f t="shared" si="8"/>
        <v>0</v>
      </c>
      <c r="X17" s="14">
        <f t="shared" si="6"/>
        <v>0</v>
      </c>
      <c r="Y17" s="14">
        <f t="shared" si="8"/>
        <v>841329</v>
      </c>
      <c r="Z17" s="95">
        <f t="shared" si="8"/>
        <v>336.5316000000001</v>
      </c>
      <c r="AA17" s="18"/>
      <c r="AB17" s="35"/>
      <c r="AF17" s="9">
        <f>SUM(AF6:AF16)</f>
        <v>19</v>
      </c>
      <c r="AG17" s="9">
        <f>SUM(AG6:AG16)</f>
        <v>15</v>
      </c>
      <c r="AH17" s="9">
        <f>SUM(AH6:AH16)</f>
        <v>15</v>
      </c>
    </row>
    <row r="18" spans="1:21" ht="24.75" customHeight="1">
      <c r="A18" s="1" t="s">
        <v>52</v>
      </c>
      <c r="K18" s="35"/>
      <c r="L18" s="1" t="s">
        <v>80</v>
      </c>
      <c r="U18" s="48">
        <v>40</v>
      </c>
    </row>
    <row r="19" spans="2:28" ht="24.75" customHeight="1">
      <c r="B19" s="1" t="s">
        <v>83</v>
      </c>
      <c r="E19" s="1" t="s">
        <v>244</v>
      </c>
      <c r="L19" s="1" t="s">
        <v>248</v>
      </c>
      <c r="U19" s="48">
        <v>321.61</v>
      </c>
      <c r="AB19" s="35"/>
    </row>
    <row r="20" spans="5:32" s="48" customFormat="1" ht="24.75" customHeight="1">
      <c r="E20" s="19" t="s">
        <v>247</v>
      </c>
      <c r="F20" s="20"/>
      <c r="G20" s="19"/>
      <c r="H20" s="19"/>
      <c r="I20" s="19"/>
      <c r="J20" s="19"/>
      <c r="M20" s="48" t="s">
        <v>85</v>
      </c>
      <c r="N20" s="48" t="s">
        <v>86</v>
      </c>
      <c r="O20" s="48" t="s">
        <v>87</v>
      </c>
      <c r="Q20" s="48" t="s">
        <v>89</v>
      </c>
      <c r="AF20" s="49"/>
    </row>
    <row r="21" spans="6:32" s="48" customFormat="1" ht="24.75" customHeight="1">
      <c r="F21" s="49"/>
      <c r="H21" s="48">
        <v>96</v>
      </c>
      <c r="M21" s="48">
        <v>392</v>
      </c>
      <c r="N21" s="48">
        <f>H21+M21</f>
        <v>488</v>
      </c>
      <c r="O21" s="48">
        <v>51</v>
      </c>
      <c r="P21" s="48">
        <f>N21-O21</f>
        <v>437</v>
      </c>
      <c r="Q21" s="48">
        <v>61</v>
      </c>
      <c r="AF21" s="49"/>
    </row>
    <row r="22" spans="6:10" ht="24.75" customHeight="1">
      <c r="F22" s="2" t="s">
        <v>98</v>
      </c>
      <c r="G22" s="1" t="s">
        <v>99</v>
      </c>
      <c r="I22" s="1" t="s">
        <v>100</v>
      </c>
      <c r="J22" s="85" t="s">
        <v>101</v>
      </c>
    </row>
    <row r="23" spans="7:10" ht="24.75" customHeight="1">
      <c r="G23" s="1" t="s">
        <v>105</v>
      </c>
      <c r="I23" s="1" t="s">
        <v>103</v>
      </c>
      <c r="J23" s="85" t="s">
        <v>104</v>
      </c>
    </row>
    <row r="24" spans="7:10" ht="24.75" customHeight="1">
      <c r="G24" s="1" t="s">
        <v>106</v>
      </c>
      <c r="I24" s="1" t="s">
        <v>107</v>
      </c>
      <c r="J24" s="85" t="s">
        <v>108</v>
      </c>
    </row>
  </sheetData>
  <sheetProtection/>
  <mergeCells count="14">
    <mergeCell ref="J4:N4"/>
    <mergeCell ref="E4:I4"/>
    <mergeCell ref="B4:B5"/>
    <mergeCell ref="C4:C5"/>
    <mergeCell ref="P4:Q4"/>
    <mergeCell ref="R4:R5"/>
    <mergeCell ref="D4:D5"/>
    <mergeCell ref="O4:O5"/>
    <mergeCell ref="AA4:AA5"/>
    <mergeCell ref="A2:V2"/>
    <mergeCell ref="U4:U5"/>
    <mergeCell ref="V4:X4"/>
    <mergeCell ref="S4:T4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26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10" sqref="AG10"/>
    </sheetView>
  </sheetViews>
  <sheetFormatPr defaultColWidth="18.28125" defaultRowHeight="24" customHeight="1"/>
  <cols>
    <col min="1" max="1" width="12.8515625" style="1" customWidth="1"/>
    <col min="2" max="3" width="6.140625" style="1" customWidth="1"/>
    <col min="4" max="4" width="8.140625" style="1" customWidth="1"/>
    <col min="5" max="5" width="6.28125" style="1" customWidth="1"/>
    <col min="6" max="6" width="8.140625" style="1" customWidth="1"/>
    <col min="7" max="8" width="6.00390625" style="1" customWidth="1"/>
    <col min="9" max="9" width="6.57421875" style="1" customWidth="1"/>
    <col min="10" max="10" width="6.140625" style="1" customWidth="1"/>
    <col min="11" max="11" width="7.7109375" style="1" customWidth="1"/>
    <col min="12" max="12" width="7.421875" style="1" customWidth="1"/>
    <col min="13" max="13" width="5.140625" style="1" customWidth="1"/>
    <col min="14" max="14" width="5.421875" style="1" customWidth="1"/>
    <col min="15" max="15" width="4.8515625" style="1" customWidth="1"/>
    <col min="16" max="16" width="4.421875" style="1" customWidth="1"/>
    <col min="17" max="17" width="4.140625" style="1" customWidth="1"/>
    <col min="18" max="18" width="6.421875" style="1" customWidth="1"/>
    <col min="19" max="19" width="4.8515625" style="1" customWidth="1"/>
    <col min="20" max="20" width="5.00390625" style="1" customWidth="1"/>
    <col min="21" max="21" width="5.28125" style="2" customWidth="1"/>
    <col min="22" max="22" width="11.28125" style="1" customWidth="1"/>
    <col min="23" max="23" width="7.421875" style="1" hidden="1" customWidth="1"/>
    <col min="24" max="24" width="10.00390625" style="1" hidden="1" customWidth="1"/>
    <col min="25" max="25" width="12.8515625" style="1" hidden="1" customWidth="1"/>
    <col min="26" max="26" width="8.00390625" style="1" hidden="1" customWidth="1"/>
    <col min="27" max="27" width="5.421875" style="1" customWidth="1"/>
    <col min="28" max="28" width="5.8515625" style="1" customWidth="1"/>
    <col min="29" max="29" width="6.28125" style="1" customWidth="1"/>
    <col min="30" max="30" width="5.8515625" style="1" customWidth="1"/>
    <col min="31" max="32" width="6.57421875" style="1" customWidth="1"/>
    <col min="33" max="33" width="6.7109375" style="1" customWidth="1"/>
    <col min="34" max="34" width="5.8515625" style="1" customWidth="1"/>
    <col min="35" max="16384" width="18.28125" style="1" customWidth="1"/>
  </cols>
  <sheetData>
    <row r="1" ht="2.25" customHeight="1">
      <c r="U1" s="2" t="s">
        <v>60</v>
      </c>
    </row>
    <row r="2" spans="1:21" ht="24.75" customHeight="1">
      <c r="A2" s="165" t="s">
        <v>239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1" ht="19.5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</row>
    <row r="4" spans="1:21" ht="41.25" customHeight="1">
      <c r="A4" s="156" t="s">
        <v>19</v>
      </c>
      <c r="B4" s="183" t="s">
        <v>20</v>
      </c>
      <c r="C4" s="184"/>
      <c r="D4" s="184"/>
      <c r="E4" s="184"/>
      <c r="F4" s="185"/>
      <c r="G4" s="183" t="s">
        <v>21</v>
      </c>
      <c r="H4" s="184"/>
      <c r="I4" s="184"/>
      <c r="J4" s="184"/>
      <c r="K4" s="185"/>
      <c r="L4" s="174" t="s">
        <v>70</v>
      </c>
      <c r="M4" s="175" t="s">
        <v>65</v>
      </c>
      <c r="N4" s="176"/>
      <c r="O4" s="177" t="s">
        <v>68</v>
      </c>
      <c r="P4" s="174" t="s">
        <v>33</v>
      </c>
      <c r="Q4" s="174"/>
      <c r="R4" s="179" t="s">
        <v>75</v>
      </c>
      <c r="S4" s="186" t="s">
        <v>130</v>
      </c>
      <c r="T4" s="187"/>
      <c r="U4" s="188"/>
    </row>
    <row r="5" spans="1:25" s="26" customFormat="1" ht="73.5" customHeight="1">
      <c r="A5" s="156"/>
      <c r="B5" s="58" t="s">
        <v>92</v>
      </c>
      <c r="C5" s="58" t="s">
        <v>93</v>
      </c>
      <c r="D5" s="59" t="s">
        <v>76</v>
      </c>
      <c r="E5" s="59" t="s">
        <v>30</v>
      </c>
      <c r="F5" s="60" t="s">
        <v>57</v>
      </c>
      <c r="G5" s="58" t="s">
        <v>92</v>
      </c>
      <c r="H5" s="58" t="s">
        <v>93</v>
      </c>
      <c r="I5" s="59" t="s">
        <v>76</v>
      </c>
      <c r="J5" s="59" t="s">
        <v>30</v>
      </c>
      <c r="K5" s="60" t="s">
        <v>57</v>
      </c>
      <c r="L5" s="174"/>
      <c r="M5" s="54" t="s">
        <v>67</v>
      </c>
      <c r="N5" s="54" t="s">
        <v>66</v>
      </c>
      <c r="O5" s="178"/>
      <c r="P5" s="54" t="s">
        <v>20</v>
      </c>
      <c r="Q5" s="54" t="s">
        <v>21</v>
      </c>
      <c r="R5" s="180"/>
      <c r="S5" s="59" t="s">
        <v>20</v>
      </c>
      <c r="T5" s="59" t="s">
        <v>21</v>
      </c>
      <c r="U5" s="58" t="s">
        <v>3</v>
      </c>
      <c r="V5" s="61"/>
      <c r="W5" s="61"/>
      <c r="X5" s="27" t="s">
        <v>21</v>
      </c>
      <c r="Y5" s="27">
        <v>1250</v>
      </c>
    </row>
    <row r="6" spans="1:219" ht="23.25" customHeight="1">
      <c r="A6" s="30" t="s">
        <v>35</v>
      </c>
      <c r="B6" s="30">
        <v>24</v>
      </c>
      <c r="C6" s="62">
        <f>24*80/100</f>
        <v>19.2</v>
      </c>
      <c r="D6" s="112">
        <v>14</v>
      </c>
      <c r="E6" s="63">
        <f>B6-D6</f>
        <v>10</v>
      </c>
      <c r="F6" s="64">
        <f>E6/B6*100</f>
        <v>41.66666666666667</v>
      </c>
      <c r="G6" s="65">
        <f>134-52</f>
        <v>82</v>
      </c>
      <c r="H6" s="62">
        <f>82*80/100</f>
        <v>65.6</v>
      </c>
      <c r="I6" s="112">
        <v>55</v>
      </c>
      <c r="J6" s="63">
        <f>G6-I6</f>
        <v>27</v>
      </c>
      <c r="K6" s="66">
        <f>J6/G6*100</f>
        <v>32.926829268292686</v>
      </c>
      <c r="L6" s="66">
        <f>(J6+E6)/(B6+G6)*100</f>
        <v>34.90566037735849</v>
      </c>
      <c r="M6" s="114"/>
      <c r="N6" s="114"/>
      <c r="O6" s="114"/>
      <c r="P6" s="114">
        <v>0</v>
      </c>
      <c r="Q6" s="114">
        <v>0</v>
      </c>
      <c r="R6" s="11">
        <f>L6*5/300.88</f>
        <v>0.5800594984272548</v>
      </c>
      <c r="S6" s="38"/>
      <c r="T6" s="38"/>
      <c r="U6" s="38">
        <f>SUM(S6:T6)</f>
        <v>0</v>
      </c>
      <c r="V6" s="67"/>
      <c r="W6" s="68"/>
      <c r="X6" s="55">
        <v>188899</v>
      </c>
      <c r="Y6" s="55">
        <f>X6/Y$5</f>
        <v>151.1192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</row>
    <row r="7" spans="1:25" s="34" customFormat="1" ht="23.25" customHeight="1">
      <c r="A7" s="30" t="s">
        <v>8</v>
      </c>
      <c r="B7" s="30">
        <v>19</v>
      </c>
      <c r="C7" s="62">
        <f>19*80/100</f>
        <v>15.2</v>
      </c>
      <c r="D7" s="112">
        <v>10</v>
      </c>
      <c r="E7" s="63">
        <f aca="true" t="shared" si="0" ref="E7:E17">B7-D7</f>
        <v>9</v>
      </c>
      <c r="F7" s="64">
        <f aca="true" t="shared" si="1" ref="F7:F17">E7/B7*100</f>
        <v>47.368421052631575</v>
      </c>
      <c r="G7" s="65">
        <f>98-40</f>
        <v>58</v>
      </c>
      <c r="H7" s="62">
        <f>58*80/100</f>
        <v>46.4</v>
      </c>
      <c r="I7" s="112">
        <v>49</v>
      </c>
      <c r="J7" s="63">
        <f aca="true" t="shared" si="2" ref="J7:J17">G7-I7</f>
        <v>9</v>
      </c>
      <c r="K7" s="66">
        <f aca="true" t="shared" si="3" ref="K7:K17">J7/G7*100</f>
        <v>15.517241379310345</v>
      </c>
      <c r="L7" s="66">
        <f aca="true" t="shared" si="4" ref="L7:L17">(J7+E7)/(B7+G7)*100</f>
        <v>23.376623376623375</v>
      </c>
      <c r="M7" s="114"/>
      <c r="N7" s="114">
        <v>14</v>
      </c>
      <c r="O7" s="114"/>
      <c r="P7" s="114">
        <v>2</v>
      </c>
      <c r="Q7" s="114">
        <v>14</v>
      </c>
      <c r="R7" s="11">
        <f aca="true" t="shared" si="5" ref="R7:R16">L7*5/300.88</f>
        <v>0.388470875043595</v>
      </c>
      <c r="S7" s="38"/>
      <c r="T7" s="38"/>
      <c r="U7" s="38">
        <f aca="true" t="shared" si="6" ref="U7:U16">SUM(S7:T7)</f>
        <v>0</v>
      </c>
      <c r="V7" s="69"/>
      <c r="W7" s="68"/>
      <c r="X7" s="56">
        <v>98150</v>
      </c>
      <c r="Y7" s="57">
        <f>X7/Y$5</f>
        <v>78.52</v>
      </c>
    </row>
    <row r="8" spans="1:25" s="34" customFormat="1" ht="23.25" customHeight="1">
      <c r="A8" s="30" t="s">
        <v>9</v>
      </c>
      <c r="B8" s="30">
        <v>19</v>
      </c>
      <c r="C8" s="62">
        <f>19*80/100</f>
        <v>15.2</v>
      </c>
      <c r="D8" s="112">
        <v>12</v>
      </c>
      <c r="E8" s="63">
        <f t="shared" si="0"/>
        <v>7</v>
      </c>
      <c r="F8" s="64">
        <f t="shared" si="1"/>
        <v>36.84210526315789</v>
      </c>
      <c r="G8" s="65">
        <f>176-52</f>
        <v>124</v>
      </c>
      <c r="H8" s="62">
        <f>124*80/100</f>
        <v>99.2</v>
      </c>
      <c r="I8" s="112">
        <v>68</v>
      </c>
      <c r="J8" s="63">
        <f t="shared" si="2"/>
        <v>56</v>
      </c>
      <c r="K8" s="66">
        <f t="shared" si="3"/>
        <v>45.16129032258064</v>
      </c>
      <c r="L8" s="66">
        <f t="shared" si="4"/>
        <v>44.05594405594406</v>
      </c>
      <c r="M8" s="114"/>
      <c r="N8" s="114"/>
      <c r="O8" s="114"/>
      <c r="P8" s="114">
        <v>2</v>
      </c>
      <c r="Q8" s="114">
        <v>1</v>
      </c>
      <c r="R8" s="11">
        <f t="shared" si="5"/>
        <v>0.73211818758216</v>
      </c>
      <c r="S8" s="38"/>
      <c r="T8" s="38"/>
      <c r="U8" s="38">
        <f t="shared" si="6"/>
        <v>0</v>
      </c>
      <c r="V8" s="67"/>
      <c r="W8" s="68"/>
      <c r="X8" s="56">
        <v>145680</v>
      </c>
      <c r="Y8" s="57">
        <f aca="true" t="shared" si="7" ref="Y8:Y16">X8/Y$5</f>
        <v>116.544</v>
      </c>
    </row>
    <row r="9" spans="1:25" ht="23.25" customHeight="1">
      <c r="A9" s="30" t="s">
        <v>10</v>
      </c>
      <c r="B9" s="30">
        <v>19</v>
      </c>
      <c r="C9" s="62">
        <f>19*80/100</f>
        <v>15.2</v>
      </c>
      <c r="D9" s="112">
        <v>9</v>
      </c>
      <c r="E9" s="63">
        <f t="shared" si="0"/>
        <v>10</v>
      </c>
      <c r="F9" s="64">
        <f t="shared" si="1"/>
        <v>52.63157894736842</v>
      </c>
      <c r="G9" s="65">
        <f>88-28</f>
        <v>60</v>
      </c>
      <c r="H9" s="62">
        <f>60*80/100</f>
        <v>48</v>
      </c>
      <c r="I9" s="112">
        <v>34</v>
      </c>
      <c r="J9" s="63">
        <f t="shared" si="2"/>
        <v>26</v>
      </c>
      <c r="K9" s="66">
        <f t="shared" si="3"/>
        <v>43.333333333333336</v>
      </c>
      <c r="L9" s="66">
        <f t="shared" si="4"/>
        <v>45.56962025316456</v>
      </c>
      <c r="M9" s="114"/>
      <c r="N9" s="114"/>
      <c r="O9" s="114"/>
      <c r="P9" s="114">
        <v>0</v>
      </c>
      <c r="Q9" s="115">
        <v>5</v>
      </c>
      <c r="R9" s="11">
        <f t="shared" si="5"/>
        <v>0.7572723386925777</v>
      </c>
      <c r="S9" s="38"/>
      <c r="T9" s="38"/>
      <c r="U9" s="38">
        <f t="shared" si="6"/>
        <v>0</v>
      </c>
      <c r="V9" s="67"/>
      <c r="W9" s="68"/>
      <c r="X9" s="8">
        <v>98490</v>
      </c>
      <c r="Y9" s="57">
        <f t="shared" si="7"/>
        <v>78.792</v>
      </c>
    </row>
    <row r="10" spans="1:25" ht="23.25" customHeight="1">
      <c r="A10" s="30" t="s">
        <v>11</v>
      </c>
      <c r="B10" s="30">
        <v>19</v>
      </c>
      <c r="C10" s="62">
        <f>19*80/100</f>
        <v>15.2</v>
      </c>
      <c r="D10" s="112">
        <v>12</v>
      </c>
      <c r="E10" s="63">
        <f t="shared" si="0"/>
        <v>7</v>
      </c>
      <c r="F10" s="64">
        <f t="shared" si="1"/>
        <v>36.84210526315789</v>
      </c>
      <c r="G10" s="65">
        <v>5</v>
      </c>
      <c r="H10" s="62">
        <v>3</v>
      </c>
      <c r="I10" s="112">
        <v>3</v>
      </c>
      <c r="J10" s="63">
        <f t="shared" si="2"/>
        <v>2</v>
      </c>
      <c r="K10" s="66">
        <f t="shared" si="3"/>
        <v>40</v>
      </c>
      <c r="L10" s="66">
        <f t="shared" si="4"/>
        <v>37.5</v>
      </c>
      <c r="M10" s="114"/>
      <c r="N10" s="114"/>
      <c r="O10" s="114"/>
      <c r="P10" s="114">
        <v>0</v>
      </c>
      <c r="Q10" s="115">
        <v>0</v>
      </c>
      <c r="R10" s="11">
        <f t="shared" si="5"/>
        <v>0.623172028715767</v>
      </c>
      <c r="S10" s="38"/>
      <c r="T10" s="38"/>
      <c r="U10" s="38">
        <f t="shared" si="6"/>
        <v>0</v>
      </c>
      <c r="V10" s="67"/>
      <c r="W10" s="68"/>
      <c r="X10" s="8">
        <v>55754</v>
      </c>
      <c r="Y10" s="57">
        <f t="shared" si="7"/>
        <v>44.6032</v>
      </c>
    </row>
    <row r="11" spans="1:26" ht="23.25" customHeight="1">
      <c r="A11" s="30" t="s">
        <v>16</v>
      </c>
      <c r="B11" s="30">
        <v>13</v>
      </c>
      <c r="C11" s="62">
        <f aca="true" t="shared" si="8" ref="C11:C16">13*80/100</f>
        <v>10.4</v>
      </c>
      <c r="D11" s="112">
        <v>13</v>
      </c>
      <c r="E11" s="63">
        <f t="shared" si="0"/>
        <v>0</v>
      </c>
      <c r="F11" s="64">
        <f t="shared" si="1"/>
        <v>0</v>
      </c>
      <c r="G11" s="65">
        <f>54-12</f>
        <v>42</v>
      </c>
      <c r="H11" s="62">
        <f>42*80/100</f>
        <v>33.6</v>
      </c>
      <c r="I11" s="112">
        <v>28</v>
      </c>
      <c r="J11" s="63">
        <f t="shared" si="2"/>
        <v>14</v>
      </c>
      <c r="K11" s="66">
        <f t="shared" si="3"/>
        <v>33.33333333333333</v>
      </c>
      <c r="L11" s="66">
        <f t="shared" si="4"/>
        <v>25.454545454545453</v>
      </c>
      <c r="M11" s="114"/>
      <c r="N11" s="114">
        <v>4</v>
      </c>
      <c r="O11" s="114"/>
      <c r="P11" s="114">
        <v>0</v>
      </c>
      <c r="Q11" s="115">
        <v>3</v>
      </c>
      <c r="R11" s="11">
        <f t="shared" si="5"/>
        <v>0.4230016194919146</v>
      </c>
      <c r="S11" s="38"/>
      <c r="T11" s="38"/>
      <c r="U11" s="38">
        <f t="shared" si="6"/>
        <v>0</v>
      </c>
      <c r="V11" s="70"/>
      <c r="W11" s="181" t="s">
        <v>94</v>
      </c>
      <c r="X11" s="181"/>
      <c r="Y11" s="182"/>
      <c r="Z11" s="1" t="s">
        <v>82</v>
      </c>
    </row>
    <row r="12" spans="1:25" ht="23.25" customHeight="1">
      <c r="A12" s="30" t="s">
        <v>12</v>
      </c>
      <c r="B12" s="30">
        <v>13</v>
      </c>
      <c r="C12" s="62">
        <f t="shared" si="8"/>
        <v>10.4</v>
      </c>
      <c r="D12" s="112">
        <v>12</v>
      </c>
      <c r="E12" s="63">
        <f t="shared" si="0"/>
        <v>1</v>
      </c>
      <c r="F12" s="64">
        <f t="shared" si="1"/>
        <v>7.6923076923076925</v>
      </c>
      <c r="G12" s="65">
        <f>66-22</f>
        <v>44</v>
      </c>
      <c r="H12" s="62">
        <f>44*80/100</f>
        <v>35.2</v>
      </c>
      <c r="I12" s="112">
        <v>46</v>
      </c>
      <c r="J12" s="143">
        <f t="shared" si="2"/>
        <v>-2</v>
      </c>
      <c r="K12" s="144">
        <f t="shared" si="3"/>
        <v>-4.545454545454546</v>
      </c>
      <c r="L12" s="66">
        <f t="shared" si="4"/>
        <v>-1.7543859649122806</v>
      </c>
      <c r="M12" s="114"/>
      <c r="N12" s="114"/>
      <c r="O12" s="114"/>
      <c r="P12" s="114">
        <v>0</v>
      </c>
      <c r="Q12" s="115">
        <v>0</v>
      </c>
      <c r="R12" s="11">
        <f t="shared" si="5"/>
        <v>-0.029154246957462784</v>
      </c>
      <c r="S12" s="38"/>
      <c r="T12" s="38"/>
      <c r="U12" s="38">
        <f t="shared" si="6"/>
        <v>0</v>
      </c>
      <c r="V12" s="67"/>
      <c r="W12" s="68"/>
      <c r="X12" s="8">
        <v>70143</v>
      </c>
      <c r="Y12" s="57">
        <f t="shared" si="7"/>
        <v>56.1144</v>
      </c>
    </row>
    <row r="13" spans="1:25" ht="23.25" customHeight="1">
      <c r="A13" s="30" t="s">
        <v>13</v>
      </c>
      <c r="B13" s="30">
        <v>13</v>
      </c>
      <c r="C13" s="62">
        <f t="shared" si="8"/>
        <v>10.4</v>
      </c>
      <c r="D13" s="112">
        <v>12</v>
      </c>
      <c r="E13" s="63">
        <f t="shared" si="0"/>
        <v>1</v>
      </c>
      <c r="F13" s="64">
        <f t="shared" si="1"/>
        <v>7.6923076923076925</v>
      </c>
      <c r="G13" s="65">
        <f>52-24</f>
        <v>28</v>
      </c>
      <c r="H13" s="62">
        <f>28*80/100</f>
        <v>22.4</v>
      </c>
      <c r="I13" s="112">
        <v>23</v>
      </c>
      <c r="J13" s="63">
        <f t="shared" si="2"/>
        <v>5</v>
      </c>
      <c r="K13" s="66">
        <f t="shared" si="3"/>
        <v>17.857142857142858</v>
      </c>
      <c r="L13" s="66">
        <f t="shared" si="4"/>
        <v>14.634146341463413</v>
      </c>
      <c r="M13" s="114"/>
      <c r="N13" s="114"/>
      <c r="O13" s="114"/>
      <c r="P13" s="114">
        <v>0</v>
      </c>
      <c r="Q13" s="115">
        <v>4</v>
      </c>
      <c r="R13" s="11">
        <f t="shared" si="5"/>
        <v>0.24318908437688466</v>
      </c>
      <c r="S13" s="38"/>
      <c r="T13" s="38"/>
      <c r="U13" s="38">
        <f t="shared" si="6"/>
        <v>0</v>
      </c>
      <c r="V13" s="67"/>
      <c r="W13" s="68"/>
      <c r="X13" s="8">
        <v>54774</v>
      </c>
      <c r="Y13" s="57">
        <f t="shared" si="7"/>
        <v>43.8192</v>
      </c>
    </row>
    <row r="14" spans="1:25" ht="23.25" customHeight="1">
      <c r="A14" s="30" t="s">
        <v>15</v>
      </c>
      <c r="B14" s="30">
        <v>13</v>
      </c>
      <c r="C14" s="62">
        <f t="shared" si="8"/>
        <v>10.4</v>
      </c>
      <c r="D14" s="112">
        <v>10</v>
      </c>
      <c r="E14" s="63">
        <f t="shared" si="0"/>
        <v>3</v>
      </c>
      <c r="F14" s="64">
        <f t="shared" si="1"/>
        <v>23.076923076923077</v>
      </c>
      <c r="G14" s="65">
        <f>42-22</f>
        <v>20</v>
      </c>
      <c r="H14" s="62">
        <f>20*80/100</f>
        <v>16</v>
      </c>
      <c r="I14" s="112">
        <v>16</v>
      </c>
      <c r="J14" s="63">
        <f t="shared" si="2"/>
        <v>4</v>
      </c>
      <c r="K14" s="66">
        <f t="shared" si="3"/>
        <v>20</v>
      </c>
      <c r="L14" s="66">
        <f t="shared" si="4"/>
        <v>21.21212121212121</v>
      </c>
      <c r="M14" s="114"/>
      <c r="N14" s="114">
        <v>10</v>
      </c>
      <c r="O14" s="114">
        <v>1</v>
      </c>
      <c r="P14" s="114">
        <v>0</v>
      </c>
      <c r="Q14" s="115">
        <v>8</v>
      </c>
      <c r="R14" s="11">
        <f t="shared" si="5"/>
        <v>0.3525013495765955</v>
      </c>
      <c r="S14" s="38"/>
      <c r="T14" s="38"/>
      <c r="U14" s="38">
        <f t="shared" si="6"/>
        <v>0</v>
      </c>
      <c r="V14" s="67"/>
      <c r="W14" s="68"/>
      <c r="X14" s="8">
        <v>28417</v>
      </c>
      <c r="Y14" s="57">
        <f t="shared" si="7"/>
        <v>22.7336</v>
      </c>
    </row>
    <row r="15" spans="1:25" ht="23.25" customHeight="1">
      <c r="A15" s="30" t="s">
        <v>14</v>
      </c>
      <c r="B15" s="30">
        <v>13</v>
      </c>
      <c r="C15" s="62">
        <f t="shared" si="8"/>
        <v>10.4</v>
      </c>
      <c r="D15" s="112">
        <v>9</v>
      </c>
      <c r="E15" s="63">
        <f t="shared" si="0"/>
        <v>4</v>
      </c>
      <c r="F15" s="64">
        <f t="shared" si="1"/>
        <v>30.76923076923077</v>
      </c>
      <c r="G15" s="65">
        <f>46-8</f>
        <v>38</v>
      </c>
      <c r="H15" s="62">
        <f>38*80/100</f>
        <v>30.4</v>
      </c>
      <c r="I15" s="112">
        <v>29</v>
      </c>
      <c r="J15" s="63">
        <f t="shared" si="2"/>
        <v>9</v>
      </c>
      <c r="K15" s="66">
        <f t="shared" si="3"/>
        <v>23.684210526315788</v>
      </c>
      <c r="L15" s="66">
        <f t="shared" si="4"/>
        <v>25.49019607843137</v>
      </c>
      <c r="M15" s="114"/>
      <c r="N15" s="114"/>
      <c r="O15" s="114"/>
      <c r="P15" s="114">
        <v>0</v>
      </c>
      <c r="Q15" s="115">
        <v>2</v>
      </c>
      <c r="R15" s="11">
        <f t="shared" si="5"/>
        <v>0.42359405873490047</v>
      </c>
      <c r="S15" s="38"/>
      <c r="T15" s="38"/>
      <c r="U15" s="38">
        <f t="shared" si="6"/>
        <v>0</v>
      </c>
      <c r="V15" s="138" t="s">
        <v>251</v>
      </c>
      <c r="W15" s="68"/>
      <c r="X15" s="8">
        <v>31277</v>
      </c>
      <c r="Y15" s="57">
        <f t="shared" si="7"/>
        <v>25.0216</v>
      </c>
    </row>
    <row r="16" spans="1:25" ht="23.25" customHeight="1">
      <c r="A16" s="30" t="s">
        <v>17</v>
      </c>
      <c r="B16" s="30">
        <v>13</v>
      </c>
      <c r="C16" s="62">
        <f t="shared" si="8"/>
        <v>10.4</v>
      </c>
      <c r="D16" s="112">
        <v>6</v>
      </c>
      <c r="E16" s="63">
        <f t="shared" si="0"/>
        <v>7</v>
      </c>
      <c r="F16" s="64">
        <f t="shared" si="1"/>
        <v>53.84615384615385</v>
      </c>
      <c r="G16" s="65">
        <f>20-10</f>
        <v>10</v>
      </c>
      <c r="H16" s="62">
        <f>10*80/100</f>
        <v>8</v>
      </c>
      <c r="I16" s="112">
        <v>10</v>
      </c>
      <c r="J16" s="63">
        <f t="shared" si="2"/>
        <v>0</v>
      </c>
      <c r="K16" s="66">
        <f t="shared" si="3"/>
        <v>0</v>
      </c>
      <c r="L16" s="66">
        <f t="shared" si="4"/>
        <v>30.434782608695656</v>
      </c>
      <c r="M16" s="114"/>
      <c r="N16" s="114"/>
      <c r="O16" s="114"/>
      <c r="P16" s="114">
        <v>0</v>
      </c>
      <c r="Q16" s="115">
        <v>0</v>
      </c>
      <c r="R16" s="11">
        <f t="shared" si="5"/>
        <v>0.5057628059142458</v>
      </c>
      <c r="S16" s="38"/>
      <c r="T16" s="38"/>
      <c r="U16" s="38">
        <f t="shared" si="6"/>
        <v>0</v>
      </c>
      <c r="V16" s="67"/>
      <c r="W16" s="68"/>
      <c r="X16" s="8">
        <v>12116</v>
      </c>
      <c r="Y16" s="57">
        <f t="shared" si="7"/>
        <v>9.6928</v>
      </c>
    </row>
    <row r="17" spans="1:24" ht="23.25" customHeight="1">
      <c r="A17" s="7"/>
      <c r="B17" s="7">
        <f>SUM(B6:B16)</f>
        <v>178</v>
      </c>
      <c r="C17" s="12">
        <f>SUM(C6:C16)</f>
        <v>142.40000000000003</v>
      </c>
      <c r="D17" s="115">
        <f>SUM(D6:D16)</f>
        <v>119</v>
      </c>
      <c r="E17" s="63">
        <f t="shared" si="0"/>
        <v>59</v>
      </c>
      <c r="F17" s="64">
        <f t="shared" si="1"/>
        <v>33.146067415730336</v>
      </c>
      <c r="G17" s="65">
        <f>SUM(G6:G16)</f>
        <v>511</v>
      </c>
      <c r="H17" s="12">
        <f>SUM(H6:H16)</f>
        <v>407.79999999999995</v>
      </c>
      <c r="I17" s="113">
        <f>SUM(I6:I16)</f>
        <v>361</v>
      </c>
      <c r="J17" s="63">
        <f t="shared" si="2"/>
        <v>150</v>
      </c>
      <c r="K17" s="66">
        <f t="shared" si="3"/>
        <v>29.354207436399214</v>
      </c>
      <c r="L17" s="66">
        <f t="shared" si="4"/>
        <v>30.333817126269956</v>
      </c>
      <c r="M17" s="114">
        <f aca="true" t="shared" si="9" ref="M17:U17">SUM(M6:M16)</f>
        <v>0</v>
      </c>
      <c r="N17" s="114">
        <f t="shared" si="9"/>
        <v>28</v>
      </c>
      <c r="O17" s="114">
        <f t="shared" si="9"/>
        <v>1</v>
      </c>
      <c r="P17" s="114">
        <f t="shared" si="9"/>
        <v>4</v>
      </c>
      <c r="Q17" s="114">
        <f t="shared" si="9"/>
        <v>37</v>
      </c>
      <c r="R17" s="66">
        <f>SUM(R6:R16)</f>
        <v>4.999987599598432</v>
      </c>
      <c r="S17" s="38">
        <f t="shared" si="9"/>
        <v>0</v>
      </c>
      <c r="T17" s="38">
        <f t="shared" si="9"/>
        <v>0</v>
      </c>
      <c r="U17" s="38">
        <f t="shared" si="9"/>
        <v>0</v>
      </c>
      <c r="X17" s="1">
        <f>SUM(X6:X16)</f>
        <v>783700</v>
      </c>
    </row>
    <row r="18" spans="1:18" ht="24.75" customHeight="1">
      <c r="A18" s="1" t="s">
        <v>52</v>
      </c>
      <c r="I18" s="2"/>
      <c r="R18" s="48">
        <v>300.88</v>
      </c>
    </row>
    <row r="19" spans="3:15" ht="24.75" customHeight="1">
      <c r="C19" s="1" t="s">
        <v>244</v>
      </c>
      <c r="I19" s="2"/>
      <c r="J19" s="1" t="s">
        <v>55</v>
      </c>
      <c r="O19" s="1" t="s">
        <v>81</v>
      </c>
    </row>
    <row r="20" spans="5:21" s="48" customFormat="1" ht="24.75" customHeight="1">
      <c r="E20" s="48" t="s">
        <v>85</v>
      </c>
      <c r="J20" s="48" t="s">
        <v>85</v>
      </c>
      <c r="K20" s="48" t="s">
        <v>86</v>
      </c>
      <c r="L20" s="48" t="s">
        <v>88</v>
      </c>
      <c r="N20" s="48" t="s">
        <v>89</v>
      </c>
      <c r="U20" s="49"/>
    </row>
    <row r="21" spans="5:21" s="48" customFormat="1" ht="24.75" customHeight="1">
      <c r="E21" s="48">
        <v>27</v>
      </c>
      <c r="J21" s="48">
        <v>269</v>
      </c>
      <c r="K21" s="48">
        <f>E21+J21</f>
        <v>296</v>
      </c>
      <c r="L21" s="48">
        <v>3</v>
      </c>
      <c r="M21" s="48">
        <f>K21-L21</f>
        <v>293</v>
      </c>
      <c r="N21" s="48">
        <v>10</v>
      </c>
      <c r="U21" s="49"/>
    </row>
    <row r="22" ht="24.75" customHeight="1"/>
    <row r="23" spans="3:7" ht="24.75" customHeight="1">
      <c r="C23" s="2" t="s">
        <v>98</v>
      </c>
      <c r="D23" s="1" t="s">
        <v>99</v>
      </c>
      <c r="F23" s="1" t="s">
        <v>100</v>
      </c>
      <c r="G23" s="85" t="s">
        <v>109</v>
      </c>
    </row>
    <row r="24" spans="3:7" ht="24.75" customHeight="1">
      <c r="C24" s="2"/>
      <c r="D24" s="1" t="s">
        <v>105</v>
      </c>
      <c r="F24" s="1" t="s">
        <v>103</v>
      </c>
      <c r="G24" s="85" t="s">
        <v>109</v>
      </c>
    </row>
    <row r="25" spans="3:7" ht="24" customHeight="1">
      <c r="C25" s="2"/>
      <c r="D25" s="1" t="s">
        <v>106</v>
      </c>
      <c r="F25" s="1" t="s">
        <v>107</v>
      </c>
      <c r="G25" s="85" t="s">
        <v>102</v>
      </c>
    </row>
    <row r="26" ht="24" customHeight="1">
      <c r="D26" s="1" t="s">
        <v>110</v>
      </c>
    </row>
  </sheetData>
  <sheetProtection/>
  <mergeCells count="11">
    <mergeCell ref="W11:Y11"/>
    <mergeCell ref="G4:K4"/>
    <mergeCell ref="B4:F4"/>
    <mergeCell ref="S4:U4"/>
    <mergeCell ref="P4:Q4"/>
    <mergeCell ref="A2:U2"/>
    <mergeCell ref="A4:A5"/>
    <mergeCell ref="L4:L5"/>
    <mergeCell ref="M4:N4"/>
    <mergeCell ref="O4:O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N24"/>
  <sheetViews>
    <sheetView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12" sqref="AC12"/>
    </sheetView>
  </sheetViews>
  <sheetFormatPr defaultColWidth="18.28125" defaultRowHeight="12.75"/>
  <cols>
    <col min="1" max="1" width="13.28125" style="19" customWidth="1"/>
    <col min="2" max="2" width="5.421875" style="19" customWidth="1"/>
    <col min="3" max="3" width="6.140625" style="19" customWidth="1"/>
    <col min="4" max="4" width="6.28125" style="19" customWidth="1"/>
    <col min="5" max="5" width="5.140625" style="19" customWidth="1"/>
    <col min="6" max="6" width="8.00390625" style="19" customWidth="1"/>
    <col min="7" max="7" width="5.7109375" style="19" customWidth="1"/>
    <col min="8" max="9" width="7.00390625" style="19" customWidth="1"/>
    <col min="10" max="10" width="5.421875" style="19" customWidth="1"/>
    <col min="11" max="11" width="7.8515625" style="19" customWidth="1"/>
    <col min="12" max="12" width="8.00390625" style="19" customWidth="1"/>
    <col min="13" max="13" width="5.140625" style="19" customWidth="1"/>
    <col min="14" max="14" width="5.57421875" style="19" customWidth="1"/>
    <col min="15" max="15" width="5.140625" style="19" customWidth="1"/>
    <col min="16" max="16" width="5.00390625" style="19" customWidth="1"/>
    <col min="17" max="17" width="6.57421875" style="19" customWidth="1"/>
    <col min="18" max="18" width="7.57421875" style="19" customWidth="1"/>
    <col min="19" max="19" width="3.7109375" style="19" customWidth="1"/>
    <col min="20" max="20" width="4.28125" style="19" customWidth="1"/>
    <col min="21" max="21" width="5.00390625" style="19" customWidth="1"/>
    <col min="22" max="22" width="12.140625" style="19" customWidth="1"/>
    <col min="23" max="23" width="7.421875" style="19" hidden="1" customWidth="1"/>
    <col min="24" max="24" width="7.8515625" style="19" hidden="1" customWidth="1"/>
    <col min="25" max="25" width="10.00390625" style="19" hidden="1" customWidth="1"/>
    <col min="26" max="26" width="7.8515625" style="19" hidden="1" customWidth="1"/>
    <col min="27" max="16384" width="18.28125" style="19" customWidth="1"/>
  </cols>
  <sheetData>
    <row r="1" ht="3.75" customHeight="1">
      <c r="U1" s="19" t="s">
        <v>61</v>
      </c>
    </row>
    <row r="2" spans="1:22" ht="22.5" customHeight="1">
      <c r="A2" s="196" t="s">
        <v>240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86"/>
    </row>
    <row r="3" spans="1:22" ht="24" customHeight="1">
      <c r="A3" s="88">
        <v>1</v>
      </c>
      <c r="B3" s="88">
        <v>2</v>
      </c>
      <c r="C3" s="88">
        <v>3</v>
      </c>
      <c r="D3" s="88">
        <v>4</v>
      </c>
      <c r="E3" s="88">
        <v>5</v>
      </c>
      <c r="F3" s="88">
        <v>6</v>
      </c>
      <c r="G3" s="88">
        <v>7</v>
      </c>
      <c r="H3" s="88">
        <v>8</v>
      </c>
      <c r="I3" s="88">
        <v>9</v>
      </c>
      <c r="J3" s="88">
        <v>10</v>
      </c>
      <c r="K3" s="88">
        <v>11</v>
      </c>
      <c r="L3" s="88">
        <v>12</v>
      </c>
      <c r="M3" s="88">
        <v>13</v>
      </c>
      <c r="N3" s="88">
        <v>14</v>
      </c>
      <c r="O3" s="88">
        <v>15</v>
      </c>
      <c r="P3" s="88">
        <v>16</v>
      </c>
      <c r="Q3" s="88">
        <v>17</v>
      </c>
      <c r="R3" s="88">
        <v>18</v>
      </c>
      <c r="S3" s="88">
        <v>19</v>
      </c>
      <c r="T3" s="104">
        <v>20</v>
      </c>
      <c r="U3" s="104">
        <v>21</v>
      </c>
      <c r="V3" s="86"/>
    </row>
    <row r="4" spans="1:22" s="150" customFormat="1" ht="39.75" customHeight="1">
      <c r="A4" s="200" t="s">
        <v>19</v>
      </c>
      <c r="B4" s="197" t="s">
        <v>20</v>
      </c>
      <c r="C4" s="198"/>
      <c r="D4" s="198"/>
      <c r="E4" s="198"/>
      <c r="F4" s="199"/>
      <c r="G4" s="197" t="s">
        <v>21</v>
      </c>
      <c r="H4" s="198"/>
      <c r="I4" s="198"/>
      <c r="J4" s="198"/>
      <c r="K4" s="199"/>
      <c r="L4" s="200" t="s">
        <v>71</v>
      </c>
      <c r="M4" s="201" t="s">
        <v>65</v>
      </c>
      <c r="N4" s="202"/>
      <c r="O4" s="189" t="s">
        <v>68</v>
      </c>
      <c r="P4" s="207" t="s">
        <v>53</v>
      </c>
      <c r="Q4" s="208"/>
      <c r="R4" s="193" t="s">
        <v>77</v>
      </c>
      <c r="S4" s="212" t="s">
        <v>245</v>
      </c>
      <c r="T4" s="213"/>
      <c r="U4" s="214"/>
      <c r="V4" s="149"/>
    </row>
    <row r="5" spans="1:22" ht="24">
      <c r="A5" s="200"/>
      <c r="B5" s="203" t="s">
        <v>72</v>
      </c>
      <c r="C5" s="205" t="s">
        <v>32</v>
      </c>
      <c r="D5" s="206"/>
      <c r="E5" s="191" t="s">
        <v>30</v>
      </c>
      <c r="F5" s="193" t="s">
        <v>57</v>
      </c>
      <c r="G5" s="203" t="s">
        <v>72</v>
      </c>
      <c r="H5" s="205" t="s">
        <v>32</v>
      </c>
      <c r="I5" s="206"/>
      <c r="J5" s="191" t="s">
        <v>30</v>
      </c>
      <c r="K5" s="193" t="s">
        <v>57</v>
      </c>
      <c r="L5" s="200"/>
      <c r="M5" s="200" t="s">
        <v>67</v>
      </c>
      <c r="N5" s="215" t="s">
        <v>66</v>
      </c>
      <c r="O5" s="195"/>
      <c r="P5" s="189" t="s">
        <v>20</v>
      </c>
      <c r="Q5" s="191" t="s">
        <v>21</v>
      </c>
      <c r="R5" s="209"/>
      <c r="S5" s="193" t="s">
        <v>20</v>
      </c>
      <c r="T5" s="193" t="s">
        <v>21</v>
      </c>
      <c r="U5" s="189" t="s">
        <v>3</v>
      </c>
      <c r="V5" s="89"/>
    </row>
    <row r="6" spans="1:26" s="36" customFormat="1" ht="55.5" customHeight="1">
      <c r="A6" s="200"/>
      <c r="B6" s="204"/>
      <c r="C6" s="87" t="s">
        <v>265</v>
      </c>
      <c r="D6" s="147" t="s">
        <v>266</v>
      </c>
      <c r="E6" s="192"/>
      <c r="F6" s="194"/>
      <c r="G6" s="204"/>
      <c r="H6" s="146" t="s">
        <v>265</v>
      </c>
      <c r="I6" s="148" t="s">
        <v>266</v>
      </c>
      <c r="J6" s="192"/>
      <c r="K6" s="194"/>
      <c r="L6" s="200"/>
      <c r="M6" s="200"/>
      <c r="N6" s="216"/>
      <c r="O6" s="190"/>
      <c r="P6" s="190"/>
      <c r="Q6" s="192"/>
      <c r="R6" s="194"/>
      <c r="S6" s="194"/>
      <c r="T6" s="194"/>
      <c r="U6" s="190"/>
      <c r="V6" s="89"/>
      <c r="W6" s="29" t="s">
        <v>20</v>
      </c>
      <c r="X6" s="29">
        <v>8000</v>
      </c>
      <c r="Y6" s="29" t="s">
        <v>21</v>
      </c>
      <c r="Z6" s="29">
        <v>8000</v>
      </c>
    </row>
    <row r="7" spans="1:222" ht="20.25" customHeight="1">
      <c r="A7" s="37" t="s">
        <v>35</v>
      </c>
      <c r="B7" s="46">
        <v>4</v>
      </c>
      <c r="C7" s="106">
        <v>1</v>
      </c>
      <c r="D7" s="106">
        <v>0</v>
      </c>
      <c r="E7" s="14">
        <f>B7-(C7+D7)</f>
        <v>3</v>
      </c>
      <c r="F7" s="41">
        <f aca="true" t="shared" si="0" ref="F7:F19">E7/B7*100</f>
        <v>75</v>
      </c>
      <c r="G7" s="46">
        <f>21-8</f>
        <v>13</v>
      </c>
      <c r="H7" s="106">
        <v>7</v>
      </c>
      <c r="I7" s="106">
        <v>4</v>
      </c>
      <c r="J7" s="14">
        <f>G7-(H7+I7)</f>
        <v>2</v>
      </c>
      <c r="K7" s="41">
        <f>J7/G7*100</f>
        <v>15.384615384615385</v>
      </c>
      <c r="L7" s="152">
        <f aca="true" t="shared" si="1" ref="L7:L19">(J7+E7)/(G7+B7)*100</f>
        <v>29.411764705882355</v>
      </c>
      <c r="M7" s="107"/>
      <c r="N7" s="107"/>
      <c r="O7" s="107"/>
      <c r="P7" s="107">
        <v>0</v>
      </c>
      <c r="Q7" s="107">
        <v>0</v>
      </c>
      <c r="R7" s="11">
        <f>L7*4/271.92</f>
        <v>0.4326532024990049</v>
      </c>
      <c r="S7" s="14"/>
      <c r="T7" s="14"/>
      <c r="U7" s="14">
        <f>SUM(S7:T7)</f>
        <v>0</v>
      </c>
      <c r="V7" s="151" t="s">
        <v>267</v>
      </c>
      <c r="W7" s="42">
        <v>21981</v>
      </c>
      <c r="X7" s="40">
        <f>W7/X$6</f>
        <v>2.747625</v>
      </c>
      <c r="Y7" s="33">
        <v>188899</v>
      </c>
      <c r="Z7" s="40">
        <f>Y7/Z$6</f>
        <v>23.612375</v>
      </c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</row>
    <row r="8" spans="1:26" s="16" customFormat="1" ht="20.25" customHeight="1">
      <c r="A8" s="37" t="s">
        <v>8</v>
      </c>
      <c r="B8" s="46">
        <v>3</v>
      </c>
      <c r="C8" s="106">
        <v>2</v>
      </c>
      <c r="D8" s="106">
        <v>0</v>
      </c>
      <c r="E8" s="14">
        <f aca="true" t="shared" si="2" ref="E8:E19">B8-(C8+D8)</f>
        <v>1</v>
      </c>
      <c r="F8" s="41">
        <f t="shared" si="0"/>
        <v>33.33333333333333</v>
      </c>
      <c r="G8" s="46">
        <f>15-6</f>
        <v>9</v>
      </c>
      <c r="H8" s="106">
        <v>4</v>
      </c>
      <c r="I8" s="106">
        <v>3</v>
      </c>
      <c r="J8" s="14">
        <f aca="true" t="shared" si="3" ref="J8:J19">G8-(H8+I8)</f>
        <v>2</v>
      </c>
      <c r="K8" s="41">
        <f>J8/G8*100</f>
        <v>22.22222222222222</v>
      </c>
      <c r="L8" s="152">
        <f t="shared" si="1"/>
        <v>25</v>
      </c>
      <c r="M8" s="107"/>
      <c r="N8" s="107">
        <v>5</v>
      </c>
      <c r="O8" s="107"/>
      <c r="P8" s="107">
        <v>0</v>
      </c>
      <c r="Q8" s="107">
        <v>5</v>
      </c>
      <c r="R8" s="11">
        <f aca="true" t="shared" si="4" ref="R8:R18">L8*4/271.92</f>
        <v>0.3677552221241541</v>
      </c>
      <c r="S8" s="14"/>
      <c r="T8" s="14"/>
      <c r="U8" s="14">
        <f aca="true" t="shared" si="5" ref="U8:U19">SUM(S8:T8)</f>
        <v>0</v>
      </c>
      <c r="V8" s="43"/>
      <c r="W8" s="42">
        <v>7538</v>
      </c>
      <c r="X8" s="40">
        <f>W8/X$6</f>
        <v>0.94225</v>
      </c>
      <c r="Y8" s="47">
        <v>98150</v>
      </c>
      <c r="Z8" s="40">
        <f>Y8/Z$6</f>
        <v>12.26875</v>
      </c>
    </row>
    <row r="9" spans="1:26" s="16" customFormat="1" ht="20.25" customHeight="1">
      <c r="A9" s="37" t="s">
        <v>9</v>
      </c>
      <c r="B9" s="46">
        <v>3</v>
      </c>
      <c r="C9" s="106">
        <v>2</v>
      </c>
      <c r="D9" s="106">
        <v>0</v>
      </c>
      <c r="E9" s="14">
        <f t="shared" si="2"/>
        <v>1</v>
      </c>
      <c r="F9" s="41">
        <f t="shared" si="0"/>
        <v>33.33333333333333</v>
      </c>
      <c r="G9" s="46">
        <f>26-8</f>
        <v>18</v>
      </c>
      <c r="H9" s="106">
        <v>11</v>
      </c>
      <c r="I9" s="106">
        <v>3</v>
      </c>
      <c r="J9" s="14">
        <f t="shared" si="3"/>
        <v>4</v>
      </c>
      <c r="K9" s="41">
        <f aca="true" t="shared" si="6" ref="K9:K19">J9/G9*100</f>
        <v>22.22222222222222</v>
      </c>
      <c r="L9" s="152">
        <f t="shared" si="1"/>
        <v>23.809523809523807</v>
      </c>
      <c r="M9" s="107"/>
      <c r="N9" s="107"/>
      <c r="O9" s="107"/>
      <c r="P9" s="107">
        <v>0</v>
      </c>
      <c r="Q9" s="107">
        <v>0</v>
      </c>
      <c r="R9" s="11">
        <f t="shared" si="4"/>
        <v>0.3502430686896706</v>
      </c>
      <c r="S9" s="14"/>
      <c r="T9" s="14"/>
      <c r="U9" s="14">
        <f t="shared" si="5"/>
        <v>0</v>
      </c>
      <c r="V9" s="151" t="s">
        <v>268</v>
      </c>
      <c r="W9" s="42">
        <v>13552</v>
      </c>
      <c r="X9" s="40">
        <f aca="true" t="shared" si="7" ref="X9:X18">W9/X$6</f>
        <v>1.694</v>
      </c>
      <c r="Y9" s="47">
        <v>145680</v>
      </c>
      <c r="Z9" s="40">
        <f aca="true" t="shared" si="8" ref="Z9:Z18">Y9/Z$6</f>
        <v>18.21</v>
      </c>
    </row>
    <row r="10" spans="1:26" ht="20.25" customHeight="1">
      <c r="A10" s="37" t="s">
        <v>10</v>
      </c>
      <c r="B10" s="46">
        <v>3</v>
      </c>
      <c r="C10" s="106">
        <v>4</v>
      </c>
      <c r="D10" s="106">
        <v>0</v>
      </c>
      <c r="E10" s="14">
        <f t="shared" si="2"/>
        <v>-1</v>
      </c>
      <c r="F10" s="142">
        <f t="shared" si="0"/>
        <v>-33.33333333333333</v>
      </c>
      <c r="G10" s="46">
        <f>14-4</f>
        <v>10</v>
      </c>
      <c r="H10" s="106">
        <v>3</v>
      </c>
      <c r="I10" s="106">
        <v>4</v>
      </c>
      <c r="J10" s="14">
        <f t="shared" si="3"/>
        <v>3</v>
      </c>
      <c r="K10" s="41">
        <f t="shared" si="6"/>
        <v>30</v>
      </c>
      <c r="L10" s="152">
        <f t="shared" si="1"/>
        <v>15.384615384615385</v>
      </c>
      <c r="M10" s="107"/>
      <c r="N10" s="107"/>
      <c r="O10" s="107"/>
      <c r="P10" s="107">
        <v>0</v>
      </c>
      <c r="Q10" s="108">
        <v>1</v>
      </c>
      <c r="R10" s="11">
        <f t="shared" si="4"/>
        <v>0.2263109059225564</v>
      </c>
      <c r="S10" s="14"/>
      <c r="T10" s="14"/>
      <c r="U10" s="14">
        <f t="shared" si="5"/>
        <v>0</v>
      </c>
      <c r="V10" s="44"/>
      <c r="W10" s="42">
        <v>15811</v>
      </c>
      <c r="X10" s="40">
        <f t="shared" si="7"/>
        <v>1.976375</v>
      </c>
      <c r="Y10" s="18">
        <v>98490</v>
      </c>
      <c r="Z10" s="40">
        <f t="shared" si="8"/>
        <v>12.31125</v>
      </c>
    </row>
    <row r="11" spans="1:26" ht="20.25" customHeight="1">
      <c r="A11" s="37" t="s">
        <v>11</v>
      </c>
      <c r="B11" s="46">
        <v>3</v>
      </c>
      <c r="C11" s="106">
        <v>2</v>
      </c>
      <c r="D11" s="106">
        <v>1</v>
      </c>
      <c r="E11" s="14">
        <f t="shared" si="2"/>
        <v>0</v>
      </c>
      <c r="F11" s="142">
        <f t="shared" si="0"/>
        <v>0</v>
      </c>
      <c r="G11" s="46">
        <f>9-9</f>
        <v>0</v>
      </c>
      <c r="H11" s="106">
        <v>0</v>
      </c>
      <c r="I11" s="106">
        <v>0</v>
      </c>
      <c r="J11" s="14">
        <f t="shared" si="3"/>
        <v>0</v>
      </c>
      <c r="K11" s="142">
        <v>0</v>
      </c>
      <c r="L11" s="153">
        <f t="shared" si="1"/>
        <v>0</v>
      </c>
      <c r="M11" s="107"/>
      <c r="N11" s="107"/>
      <c r="O11" s="107"/>
      <c r="P11" s="107">
        <v>0</v>
      </c>
      <c r="Q11" s="108">
        <v>0</v>
      </c>
      <c r="R11" s="11">
        <f t="shared" si="4"/>
        <v>0</v>
      </c>
      <c r="S11" s="14"/>
      <c r="T11" s="14"/>
      <c r="U11" s="14">
        <f t="shared" si="5"/>
        <v>0</v>
      </c>
      <c r="V11" s="151" t="s">
        <v>268</v>
      </c>
      <c r="W11" s="42">
        <v>12711</v>
      </c>
      <c r="X11" s="40">
        <f t="shared" si="7"/>
        <v>1.588875</v>
      </c>
      <c r="Y11" s="18">
        <v>55754</v>
      </c>
      <c r="Z11" s="40">
        <f t="shared" si="8"/>
        <v>6.96925</v>
      </c>
    </row>
    <row r="12" spans="1:26" ht="20.25" customHeight="1">
      <c r="A12" s="37" t="s">
        <v>16</v>
      </c>
      <c r="B12" s="46">
        <v>3</v>
      </c>
      <c r="C12" s="106">
        <v>1</v>
      </c>
      <c r="D12" s="106">
        <v>1</v>
      </c>
      <c r="E12" s="14">
        <f t="shared" si="2"/>
        <v>1</v>
      </c>
      <c r="F12" s="41">
        <f t="shared" si="0"/>
        <v>33.33333333333333</v>
      </c>
      <c r="G12" s="46">
        <f>9-2</f>
        <v>7</v>
      </c>
      <c r="H12" s="106">
        <v>3</v>
      </c>
      <c r="I12" s="106">
        <v>3</v>
      </c>
      <c r="J12" s="14">
        <f t="shared" si="3"/>
        <v>1</v>
      </c>
      <c r="K12" s="41">
        <f t="shared" si="6"/>
        <v>14.285714285714285</v>
      </c>
      <c r="L12" s="152">
        <f t="shared" si="1"/>
        <v>20</v>
      </c>
      <c r="M12" s="107"/>
      <c r="N12" s="107">
        <v>1</v>
      </c>
      <c r="O12" s="107"/>
      <c r="P12" s="107">
        <v>0</v>
      </c>
      <c r="Q12" s="108">
        <v>3</v>
      </c>
      <c r="R12" s="11">
        <f t="shared" si="4"/>
        <v>0.29420417769932333</v>
      </c>
      <c r="S12" s="14"/>
      <c r="T12" s="14"/>
      <c r="U12" s="14">
        <f t="shared" si="5"/>
        <v>0</v>
      </c>
      <c r="V12" s="44"/>
      <c r="W12" s="42">
        <v>14827</v>
      </c>
      <c r="X12" s="40">
        <f t="shared" si="7"/>
        <v>1.853375</v>
      </c>
      <c r="Y12" s="18">
        <v>57629</v>
      </c>
      <c r="Z12" s="40">
        <f t="shared" si="8"/>
        <v>7.203625</v>
      </c>
    </row>
    <row r="13" spans="1:26" ht="20.25" customHeight="1">
      <c r="A13" s="37" t="s">
        <v>12</v>
      </c>
      <c r="B13" s="46">
        <v>3</v>
      </c>
      <c r="C13" s="106">
        <v>3</v>
      </c>
      <c r="D13" s="106">
        <v>0</v>
      </c>
      <c r="E13" s="14">
        <f t="shared" si="2"/>
        <v>0</v>
      </c>
      <c r="F13" s="41">
        <f t="shared" si="0"/>
        <v>0</v>
      </c>
      <c r="G13" s="46">
        <f>7-3</f>
        <v>4</v>
      </c>
      <c r="H13" s="106">
        <v>5</v>
      </c>
      <c r="I13" s="106">
        <v>1</v>
      </c>
      <c r="J13" s="14">
        <f t="shared" si="3"/>
        <v>-2</v>
      </c>
      <c r="K13" s="142">
        <f t="shared" si="6"/>
        <v>-50</v>
      </c>
      <c r="L13" s="153">
        <f t="shared" si="1"/>
        <v>-28.57142857142857</v>
      </c>
      <c r="M13" s="107"/>
      <c r="N13" s="107"/>
      <c r="O13" s="107"/>
      <c r="P13" s="107">
        <v>0</v>
      </c>
      <c r="Q13" s="108">
        <v>1</v>
      </c>
      <c r="R13" s="11">
        <f t="shared" si="4"/>
        <v>-0.42029168242760473</v>
      </c>
      <c r="S13" s="14"/>
      <c r="T13" s="14"/>
      <c r="U13" s="14">
        <f t="shared" si="5"/>
        <v>0</v>
      </c>
      <c r="V13" s="44"/>
      <c r="W13" s="42">
        <v>14110</v>
      </c>
      <c r="X13" s="40">
        <f t="shared" si="7"/>
        <v>1.76375</v>
      </c>
      <c r="Y13" s="18">
        <v>70143</v>
      </c>
      <c r="Z13" s="40">
        <f t="shared" si="8"/>
        <v>8.767875</v>
      </c>
    </row>
    <row r="14" spans="1:26" ht="20.25" customHeight="1">
      <c r="A14" s="37" t="s">
        <v>13</v>
      </c>
      <c r="B14" s="46">
        <v>3</v>
      </c>
      <c r="C14" s="106">
        <v>2</v>
      </c>
      <c r="D14" s="106">
        <v>0</v>
      </c>
      <c r="E14" s="14">
        <f t="shared" si="2"/>
        <v>1</v>
      </c>
      <c r="F14" s="41">
        <f t="shared" si="0"/>
        <v>33.33333333333333</v>
      </c>
      <c r="G14" s="46">
        <f>8-4</f>
        <v>4</v>
      </c>
      <c r="H14" s="106">
        <v>3</v>
      </c>
      <c r="I14" s="106">
        <v>1</v>
      </c>
      <c r="J14" s="14">
        <f t="shared" si="3"/>
        <v>0</v>
      </c>
      <c r="K14" s="142">
        <f t="shared" si="6"/>
        <v>0</v>
      </c>
      <c r="L14" s="152">
        <f t="shared" si="1"/>
        <v>14.285714285714285</v>
      </c>
      <c r="M14" s="107"/>
      <c r="N14" s="107">
        <v>1</v>
      </c>
      <c r="O14" s="107"/>
      <c r="P14" s="107">
        <v>1</v>
      </c>
      <c r="Q14" s="108">
        <v>1</v>
      </c>
      <c r="R14" s="11">
        <f t="shared" si="4"/>
        <v>0.21014584121380236</v>
      </c>
      <c r="S14" s="14"/>
      <c r="T14" s="14"/>
      <c r="U14" s="14">
        <f t="shared" si="5"/>
        <v>0</v>
      </c>
      <c r="V14" s="44"/>
      <c r="W14" s="42">
        <v>11345</v>
      </c>
      <c r="X14" s="40">
        <f t="shared" si="7"/>
        <v>1.418125</v>
      </c>
      <c r="Y14" s="18">
        <v>54774</v>
      </c>
      <c r="Z14" s="40">
        <f t="shared" si="8"/>
        <v>6.84675</v>
      </c>
    </row>
    <row r="15" spans="1:26" ht="20.25" customHeight="1">
      <c r="A15" s="37" t="s">
        <v>15</v>
      </c>
      <c r="B15" s="46">
        <v>3</v>
      </c>
      <c r="C15" s="106">
        <v>3</v>
      </c>
      <c r="D15" s="106">
        <v>0</v>
      </c>
      <c r="E15" s="14">
        <f t="shared" si="2"/>
        <v>0</v>
      </c>
      <c r="F15" s="41">
        <f t="shared" si="0"/>
        <v>0</v>
      </c>
      <c r="G15" s="46">
        <f>5-3</f>
        <v>2</v>
      </c>
      <c r="H15" s="106">
        <v>3</v>
      </c>
      <c r="I15" s="106">
        <v>2</v>
      </c>
      <c r="J15" s="14">
        <f t="shared" si="3"/>
        <v>-3</v>
      </c>
      <c r="K15" s="142">
        <f t="shared" si="6"/>
        <v>-150</v>
      </c>
      <c r="L15" s="153">
        <f t="shared" si="1"/>
        <v>-60</v>
      </c>
      <c r="M15" s="107"/>
      <c r="N15" s="107"/>
      <c r="O15" s="107"/>
      <c r="P15" s="107">
        <v>0</v>
      </c>
      <c r="Q15" s="108">
        <v>1</v>
      </c>
      <c r="R15" s="11">
        <f t="shared" si="4"/>
        <v>-0.8826125330979699</v>
      </c>
      <c r="S15" s="14"/>
      <c r="T15" s="14"/>
      <c r="U15" s="14">
        <f t="shared" si="5"/>
        <v>0</v>
      </c>
      <c r="V15" s="44"/>
      <c r="W15" s="42">
        <v>9913</v>
      </c>
      <c r="X15" s="40">
        <f t="shared" si="7"/>
        <v>1.239125</v>
      </c>
      <c r="Y15" s="18">
        <v>28417</v>
      </c>
      <c r="Z15" s="40">
        <f t="shared" si="8"/>
        <v>3.552125</v>
      </c>
    </row>
    <row r="16" spans="1:28" ht="20.25" customHeight="1">
      <c r="A16" s="37" t="s">
        <v>14</v>
      </c>
      <c r="B16" s="46">
        <v>3</v>
      </c>
      <c r="C16" s="106">
        <v>2</v>
      </c>
      <c r="D16" s="106">
        <v>0</v>
      </c>
      <c r="E16" s="14">
        <f t="shared" si="2"/>
        <v>1</v>
      </c>
      <c r="F16" s="41">
        <f t="shared" si="0"/>
        <v>33.33333333333333</v>
      </c>
      <c r="G16" s="46">
        <v>3</v>
      </c>
      <c r="H16" s="106">
        <v>2</v>
      </c>
      <c r="I16" s="106">
        <v>2</v>
      </c>
      <c r="J16" s="14">
        <f t="shared" si="3"/>
        <v>-1</v>
      </c>
      <c r="K16" s="142">
        <f t="shared" si="6"/>
        <v>-33.33333333333333</v>
      </c>
      <c r="L16" s="153">
        <f t="shared" si="1"/>
        <v>0</v>
      </c>
      <c r="M16" s="107"/>
      <c r="N16" s="107"/>
      <c r="O16" s="107"/>
      <c r="P16" s="107">
        <v>1</v>
      </c>
      <c r="Q16" s="108">
        <v>1</v>
      </c>
      <c r="R16" s="11">
        <f t="shared" si="4"/>
        <v>0</v>
      </c>
      <c r="S16" s="14"/>
      <c r="T16" s="14"/>
      <c r="U16" s="14">
        <f t="shared" si="5"/>
        <v>0</v>
      </c>
      <c r="V16" s="210" t="s">
        <v>252</v>
      </c>
      <c r="W16" s="211"/>
      <c r="X16" s="211"/>
      <c r="Y16" s="211"/>
      <c r="Z16" s="211"/>
      <c r="AA16" s="211"/>
      <c r="AB16" s="211"/>
    </row>
    <row r="17" spans="1:26" ht="20.25" customHeight="1">
      <c r="A17" s="37" t="s">
        <v>17</v>
      </c>
      <c r="B17" s="46">
        <v>3</v>
      </c>
      <c r="C17" s="106">
        <v>1</v>
      </c>
      <c r="D17" s="106">
        <v>1</v>
      </c>
      <c r="E17" s="14">
        <f t="shared" si="2"/>
        <v>1</v>
      </c>
      <c r="F17" s="41">
        <f t="shared" si="0"/>
        <v>33.33333333333333</v>
      </c>
      <c r="G17" s="46">
        <f>2-1</f>
        <v>1</v>
      </c>
      <c r="H17" s="106">
        <v>1</v>
      </c>
      <c r="I17" s="106">
        <v>1</v>
      </c>
      <c r="J17" s="14">
        <f t="shared" si="3"/>
        <v>-1</v>
      </c>
      <c r="K17" s="142">
        <f>J17/G17*100</f>
        <v>-100</v>
      </c>
      <c r="L17" s="153">
        <f t="shared" si="1"/>
        <v>0</v>
      </c>
      <c r="M17" s="107"/>
      <c r="N17" s="107"/>
      <c r="O17" s="107"/>
      <c r="P17" s="107">
        <v>0</v>
      </c>
      <c r="Q17" s="108">
        <v>0</v>
      </c>
      <c r="R17" s="11">
        <f t="shared" si="4"/>
        <v>0</v>
      </c>
      <c r="S17" s="14"/>
      <c r="T17" s="14"/>
      <c r="U17" s="14">
        <f>SUM(S17:T17)</f>
        <v>0</v>
      </c>
      <c r="V17" s="44"/>
      <c r="W17" s="42"/>
      <c r="X17" s="40"/>
      <c r="Y17" s="18"/>
      <c r="Z17" s="40"/>
    </row>
    <row r="18" spans="1:26" ht="20.25" customHeight="1">
      <c r="A18" s="37" t="s">
        <v>95</v>
      </c>
      <c r="B18" s="46">
        <v>7</v>
      </c>
      <c r="C18" s="106">
        <v>2</v>
      </c>
      <c r="D18" s="106">
        <v>1</v>
      </c>
      <c r="E18" s="14">
        <f t="shared" si="2"/>
        <v>4</v>
      </c>
      <c r="F18" s="41">
        <f t="shared" si="0"/>
        <v>57.14285714285714</v>
      </c>
      <c r="G18" s="46"/>
      <c r="H18" s="106"/>
      <c r="I18" s="106"/>
      <c r="J18" s="14">
        <f t="shared" si="3"/>
        <v>0</v>
      </c>
      <c r="K18" s="41"/>
      <c r="L18" s="152">
        <f t="shared" si="1"/>
        <v>57.14285714285714</v>
      </c>
      <c r="M18" s="107"/>
      <c r="N18" s="107"/>
      <c r="O18" s="107"/>
      <c r="P18" s="107">
        <v>0</v>
      </c>
      <c r="Q18" s="108">
        <v>0</v>
      </c>
      <c r="R18" s="11">
        <f t="shared" si="4"/>
        <v>0.8405833648552095</v>
      </c>
      <c r="S18" s="14"/>
      <c r="T18" s="14"/>
      <c r="U18" s="14">
        <f t="shared" si="5"/>
        <v>0</v>
      </c>
      <c r="V18" s="44"/>
      <c r="W18" s="42">
        <v>4875</v>
      </c>
      <c r="X18" s="40">
        <f t="shared" si="7"/>
        <v>0.609375</v>
      </c>
      <c r="Y18" s="18">
        <v>12116</v>
      </c>
      <c r="Z18" s="40">
        <f t="shared" si="8"/>
        <v>1.5145</v>
      </c>
    </row>
    <row r="19" spans="1:26" ht="20.25" customHeight="1">
      <c r="A19" s="17"/>
      <c r="B19" s="21">
        <f>SUM(B7:B18)</f>
        <v>41</v>
      </c>
      <c r="C19" s="21">
        <f>SUM(C7:C18)</f>
        <v>25</v>
      </c>
      <c r="D19" s="21">
        <f>SUM(D7:D18)</f>
        <v>4</v>
      </c>
      <c r="E19" s="14">
        <f t="shared" si="2"/>
        <v>12</v>
      </c>
      <c r="F19" s="41">
        <f t="shared" si="0"/>
        <v>29.268292682926827</v>
      </c>
      <c r="G19" s="21">
        <f>SUM(G7:G18)</f>
        <v>71</v>
      </c>
      <c r="H19" s="21">
        <f>SUM(H7:H18)</f>
        <v>42</v>
      </c>
      <c r="I19" s="21">
        <f>SUM(I7:I18)</f>
        <v>24</v>
      </c>
      <c r="J19" s="14">
        <f t="shared" si="3"/>
        <v>5</v>
      </c>
      <c r="K19" s="41">
        <f t="shared" si="6"/>
        <v>7.042253521126761</v>
      </c>
      <c r="L19" s="11">
        <f t="shared" si="1"/>
        <v>15.178571428571427</v>
      </c>
      <c r="M19" s="14">
        <f aca="true" t="shared" si="9" ref="M19:T19">SUM(M7:M18)</f>
        <v>0</v>
      </c>
      <c r="N19" s="14">
        <f t="shared" si="9"/>
        <v>7</v>
      </c>
      <c r="O19" s="14">
        <f t="shared" si="9"/>
        <v>0</v>
      </c>
      <c r="P19" s="21">
        <f t="shared" si="9"/>
        <v>2</v>
      </c>
      <c r="Q19" s="21">
        <f t="shared" si="9"/>
        <v>13</v>
      </c>
      <c r="R19" s="14">
        <f t="shared" si="9"/>
        <v>1.4189915674781464</v>
      </c>
      <c r="S19" s="14">
        <f t="shared" si="9"/>
        <v>0</v>
      </c>
      <c r="T19" s="14">
        <f t="shared" si="9"/>
        <v>0</v>
      </c>
      <c r="U19" s="14">
        <f t="shared" si="5"/>
        <v>0</v>
      </c>
      <c r="V19" s="44"/>
      <c r="W19" s="45"/>
      <c r="X19" s="18"/>
      <c r="Y19" s="18"/>
      <c r="Z19" s="18"/>
    </row>
    <row r="20" spans="1:27" ht="24.75" customHeight="1">
      <c r="A20" s="19" t="s">
        <v>52</v>
      </c>
      <c r="H20" s="20"/>
      <c r="I20" s="20"/>
      <c r="R20" s="48">
        <v>271.92</v>
      </c>
      <c r="AA20" s="19" t="s">
        <v>96</v>
      </c>
    </row>
    <row r="21" spans="2:10" ht="24.75" customHeight="1">
      <c r="B21" s="1" t="s">
        <v>244</v>
      </c>
      <c r="H21" s="20"/>
      <c r="I21" s="20"/>
      <c r="J21" s="19" t="s">
        <v>84</v>
      </c>
    </row>
    <row r="22" ht="24.75" customHeight="1"/>
    <row r="23" spans="5:14" s="48" customFormat="1" ht="24.75" customHeight="1">
      <c r="E23" s="48" t="s">
        <v>85</v>
      </c>
      <c r="J23" s="48" t="s">
        <v>85</v>
      </c>
      <c r="K23" s="48" t="s">
        <v>86</v>
      </c>
      <c r="L23" s="48" t="s">
        <v>88</v>
      </c>
      <c r="N23" s="48" t="s">
        <v>89</v>
      </c>
    </row>
    <row r="24" spans="5:14" s="48" customFormat="1" ht="24.75" customHeight="1">
      <c r="E24" s="48">
        <v>4</v>
      </c>
      <c r="J24" s="48">
        <v>35</v>
      </c>
      <c r="K24" s="48">
        <f>E24+J24</f>
        <v>39</v>
      </c>
      <c r="L24" s="48">
        <v>2</v>
      </c>
      <c r="M24" s="48">
        <f>K24-L24</f>
        <v>37</v>
      </c>
      <c r="N24" s="48">
        <v>8</v>
      </c>
    </row>
    <row r="25" ht="24.75" customHeight="1"/>
    <row r="26" ht="24.75" customHeight="1"/>
    <row r="27" ht="24" customHeight="1"/>
  </sheetData>
  <sheetProtection/>
  <mergeCells count="26">
    <mergeCell ref="A4:A6"/>
    <mergeCell ref="P4:Q4"/>
    <mergeCell ref="R4:R6"/>
    <mergeCell ref="V16:AB16"/>
    <mergeCell ref="S4:U4"/>
    <mergeCell ref="J5:J6"/>
    <mergeCell ref="K5:K6"/>
    <mergeCell ref="H5:I5"/>
    <mergeCell ref="M5:M6"/>
    <mergeCell ref="N5:N6"/>
    <mergeCell ref="A2:U2"/>
    <mergeCell ref="B4:F4"/>
    <mergeCell ref="L4:L6"/>
    <mergeCell ref="G4:K4"/>
    <mergeCell ref="M4:N4"/>
    <mergeCell ref="B5:B6"/>
    <mergeCell ref="C5:D5"/>
    <mergeCell ref="E5:E6"/>
    <mergeCell ref="F5:F6"/>
    <mergeCell ref="G5:G6"/>
    <mergeCell ref="P5:P6"/>
    <mergeCell ref="Q5:Q6"/>
    <mergeCell ref="S5:S6"/>
    <mergeCell ref="T5:T6"/>
    <mergeCell ref="U5:U6"/>
    <mergeCell ref="O4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N22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11" sqref="V11"/>
    </sheetView>
  </sheetViews>
  <sheetFormatPr defaultColWidth="18.28125" defaultRowHeight="12.75"/>
  <cols>
    <col min="1" max="1" width="13.28125" style="19" customWidth="1"/>
    <col min="2" max="2" width="6.28125" style="19" customWidth="1"/>
    <col min="3" max="3" width="7.57421875" style="19" customWidth="1"/>
    <col min="4" max="4" width="6.421875" style="19" customWidth="1"/>
    <col min="5" max="5" width="5.57421875" style="19" customWidth="1"/>
    <col min="6" max="6" width="9.421875" style="19" customWidth="1"/>
    <col min="7" max="7" width="6.140625" style="19" customWidth="1"/>
    <col min="8" max="8" width="6.00390625" style="19" customWidth="1"/>
    <col min="9" max="9" width="6.28125" style="19" customWidth="1"/>
    <col min="10" max="10" width="5.421875" style="19" customWidth="1"/>
    <col min="11" max="11" width="7.57421875" style="19" customWidth="1"/>
    <col min="12" max="12" width="9.00390625" style="19" customWidth="1"/>
    <col min="13" max="13" width="4.57421875" style="19" customWidth="1"/>
    <col min="14" max="15" width="5.140625" style="19" customWidth="1"/>
    <col min="16" max="16" width="4.7109375" style="19" customWidth="1"/>
    <col min="17" max="17" width="5.57421875" style="19" customWidth="1"/>
    <col min="18" max="18" width="6.00390625" style="19" customWidth="1"/>
    <col min="19" max="19" width="3.7109375" style="19" customWidth="1"/>
    <col min="20" max="20" width="5.421875" style="19" customWidth="1"/>
    <col min="21" max="21" width="4.7109375" style="19" customWidth="1"/>
    <col min="22" max="22" width="11.140625" style="19" bestFit="1" customWidth="1"/>
    <col min="23" max="26" width="6.28125" style="19" customWidth="1"/>
    <col min="27" max="16384" width="18.28125" style="19" customWidth="1"/>
  </cols>
  <sheetData>
    <row r="1" ht="5.25" customHeight="1">
      <c r="U1" s="19" t="s">
        <v>126</v>
      </c>
    </row>
    <row r="2" spans="1:21" ht="24.75" customHeight="1">
      <c r="A2" s="217" t="s">
        <v>269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ht="21" customHeight="1">
      <c r="A3" s="104">
        <v>1</v>
      </c>
      <c r="B3" s="104">
        <v>2</v>
      </c>
      <c r="C3" s="104">
        <v>3</v>
      </c>
      <c r="D3" s="104">
        <v>4</v>
      </c>
      <c r="E3" s="104">
        <v>5</v>
      </c>
      <c r="F3" s="104">
        <v>6</v>
      </c>
      <c r="G3" s="104">
        <v>7</v>
      </c>
      <c r="H3" s="104">
        <v>8</v>
      </c>
      <c r="I3" s="104">
        <v>9</v>
      </c>
      <c r="J3" s="104">
        <v>10</v>
      </c>
      <c r="K3" s="104">
        <v>11</v>
      </c>
      <c r="L3" s="104">
        <v>12</v>
      </c>
      <c r="M3" s="104">
        <v>11</v>
      </c>
      <c r="N3" s="104">
        <v>12</v>
      </c>
      <c r="O3" s="104">
        <v>13</v>
      </c>
      <c r="P3" s="104">
        <v>13</v>
      </c>
      <c r="Q3" s="104">
        <v>14</v>
      </c>
      <c r="R3" s="104">
        <v>15</v>
      </c>
      <c r="S3" s="105">
        <v>16</v>
      </c>
      <c r="T3" s="104">
        <v>17</v>
      </c>
      <c r="U3" s="104">
        <v>18</v>
      </c>
    </row>
    <row r="4" spans="1:26" ht="33.75" customHeight="1">
      <c r="A4" s="200" t="s">
        <v>19</v>
      </c>
      <c r="B4" s="205" t="s">
        <v>20</v>
      </c>
      <c r="C4" s="218"/>
      <c r="D4" s="218"/>
      <c r="E4" s="218"/>
      <c r="F4" s="206"/>
      <c r="G4" s="205" t="s">
        <v>21</v>
      </c>
      <c r="H4" s="218"/>
      <c r="I4" s="218"/>
      <c r="J4" s="218"/>
      <c r="K4" s="206"/>
      <c r="L4" s="219" t="s">
        <v>73</v>
      </c>
      <c r="M4" s="220" t="s">
        <v>65</v>
      </c>
      <c r="N4" s="221"/>
      <c r="O4" s="189" t="s">
        <v>68</v>
      </c>
      <c r="P4" s="219" t="s">
        <v>127</v>
      </c>
      <c r="Q4" s="219"/>
      <c r="R4" s="193" t="s">
        <v>77</v>
      </c>
      <c r="S4" s="222" t="s">
        <v>246</v>
      </c>
      <c r="T4" s="222"/>
      <c r="U4" s="222"/>
      <c r="W4" s="226" t="s">
        <v>272</v>
      </c>
      <c r="X4" s="226"/>
      <c r="Y4" s="226"/>
      <c r="Z4" s="226"/>
    </row>
    <row r="5" spans="1:26" ht="24.75" customHeight="1">
      <c r="A5" s="200"/>
      <c r="B5" s="189" t="s">
        <v>72</v>
      </c>
      <c r="C5" s="205" t="s">
        <v>32</v>
      </c>
      <c r="D5" s="206"/>
      <c r="E5" s="189" t="s">
        <v>30</v>
      </c>
      <c r="F5" s="193" t="s">
        <v>57</v>
      </c>
      <c r="G5" s="189" t="s">
        <v>72</v>
      </c>
      <c r="H5" s="205" t="s">
        <v>32</v>
      </c>
      <c r="I5" s="206"/>
      <c r="J5" s="189" t="s">
        <v>30</v>
      </c>
      <c r="K5" s="193" t="s">
        <v>57</v>
      </c>
      <c r="L5" s="219"/>
      <c r="M5" s="191" t="s">
        <v>67</v>
      </c>
      <c r="N5" s="191" t="s">
        <v>66</v>
      </c>
      <c r="O5" s="195"/>
      <c r="P5" s="189" t="s">
        <v>20</v>
      </c>
      <c r="Q5" s="193" t="s">
        <v>21</v>
      </c>
      <c r="R5" s="209"/>
      <c r="S5" s="193" t="s">
        <v>20</v>
      </c>
      <c r="T5" s="193" t="s">
        <v>21</v>
      </c>
      <c r="U5" s="193" t="s">
        <v>3</v>
      </c>
      <c r="W5" s="226" t="s">
        <v>20</v>
      </c>
      <c r="X5" s="226"/>
      <c r="Y5" s="226" t="s">
        <v>21</v>
      </c>
      <c r="Z5" s="226"/>
    </row>
    <row r="6" spans="1:26" s="36" customFormat="1" ht="72" customHeight="1">
      <c r="A6" s="200"/>
      <c r="B6" s="190"/>
      <c r="C6" s="102" t="s">
        <v>120</v>
      </c>
      <c r="D6" s="103" t="s">
        <v>128</v>
      </c>
      <c r="E6" s="190"/>
      <c r="F6" s="194"/>
      <c r="G6" s="190"/>
      <c r="H6" s="103" t="s">
        <v>120</v>
      </c>
      <c r="I6" s="103" t="s">
        <v>128</v>
      </c>
      <c r="J6" s="190"/>
      <c r="K6" s="194"/>
      <c r="L6" s="219"/>
      <c r="M6" s="192"/>
      <c r="N6" s="192"/>
      <c r="O6" s="190"/>
      <c r="P6" s="190"/>
      <c r="Q6" s="194"/>
      <c r="R6" s="194"/>
      <c r="S6" s="194"/>
      <c r="T6" s="194"/>
      <c r="U6" s="194"/>
      <c r="W6" s="29" t="s">
        <v>270</v>
      </c>
      <c r="X6" s="29" t="s">
        <v>271</v>
      </c>
      <c r="Y6" s="29" t="s">
        <v>270</v>
      </c>
      <c r="Z6" s="29" t="s">
        <v>271</v>
      </c>
    </row>
    <row r="7" spans="1:222" ht="25.5" customHeight="1">
      <c r="A7" s="37" t="s">
        <v>35</v>
      </c>
      <c r="B7" s="46">
        <v>4</v>
      </c>
      <c r="C7" s="106">
        <v>4</v>
      </c>
      <c r="D7" s="106">
        <v>2</v>
      </c>
      <c r="E7" s="140">
        <f>B7-(D7+C7)</f>
        <v>-2</v>
      </c>
      <c r="F7" s="141">
        <f>E7/B7*100</f>
        <v>-50</v>
      </c>
      <c r="G7" s="46">
        <f>6-3</f>
        <v>3</v>
      </c>
      <c r="H7" s="106">
        <v>6</v>
      </c>
      <c r="I7" s="106">
        <v>2</v>
      </c>
      <c r="J7" s="140">
        <f>G7-(I7+H7)</f>
        <v>-5</v>
      </c>
      <c r="K7" s="141">
        <f>E7+J7</f>
        <v>-7</v>
      </c>
      <c r="L7" s="11">
        <f>(E7+J7)/(B7+G7)*100</f>
        <v>-100</v>
      </c>
      <c r="M7" s="107"/>
      <c r="N7" s="107"/>
      <c r="O7" s="107"/>
      <c r="P7" s="107">
        <v>0</v>
      </c>
      <c r="Q7" s="107">
        <v>0</v>
      </c>
      <c r="R7" s="11">
        <f>L7*3/133.3</f>
        <v>-2.250562640660165</v>
      </c>
      <c r="S7" s="14"/>
      <c r="T7" s="14"/>
      <c r="U7" s="14">
        <f>SUM(S7:T7)</f>
        <v>0</v>
      </c>
      <c r="V7" s="39"/>
      <c r="W7" s="227"/>
      <c r="X7" s="227"/>
      <c r="Y7" s="227">
        <v>2</v>
      </c>
      <c r="Z7" s="227">
        <v>1</v>
      </c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</row>
    <row r="8" spans="1:26" s="16" customFormat="1" ht="23.25" customHeight="1">
      <c r="A8" s="37" t="s">
        <v>8</v>
      </c>
      <c r="B8" s="46">
        <v>3</v>
      </c>
      <c r="C8" s="106">
        <v>3</v>
      </c>
      <c r="D8" s="106">
        <v>1</v>
      </c>
      <c r="E8" s="140">
        <f>B8-(D8+C8)</f>
        <v>-1</v>
      </c>
      <c r="F8" s="141">
        <f>E8/B8*100</f>
        <v>-33.33333333333333</v>
      </c>
      <c r="G8" s="46">
        <f>7-5</f>
        <v>2</v>
      </c>
      <c r="H8" s="106">
        <v>6</v>
      </c>
      <c r="I8" s="106">
        <v>1</v>
      </c>
      <c r="J8" s="140">
        <f>G8-(I8+H8)</f>
        <v>-5</v>
      </c>
      <c r="K8" s="141">
        <f>E8+J8</f>
        <v>-6</v>
      </c>
      <c r="L8" s="11">
        <f>(E8+J8)/(B8+G8)*100</f>
        <v>-120</v>
      </c>
      <c r="M8" s="107"/>
      <c r="N8" s="107">
        <v>3</v>
      </c>
      <c r="O8" s="107"/>
      <c r="P8" s="107">
        <v>0</v>
      </c>
      <c r="Q8" s="107">
        <v>3</v>
      </c>
      <c r="R8" s="11">
        <f aca="true" t="shared" si="0" ref="R8:R17">L8*3/133.3</f>
        <v>-2.700675168792198</v>
      </c>
      <c r="S8" s="14"/>
      <c r="T8" s="14"/>
      <c r="U8" s="14">
        <f aca="true" t="shared" si="1" ref="U8:U18">SUM(S8:T8)</f>
        <v>0</v>
      </c>
      <c r="W8" s="47">
        <v>1</v>
      </c>
      <c r="X8" s="47"/>
      <c r="Y8" s="47">
        <v>3</v>
      </c>
      <c r="Z8" s="47"/>
    </row>
    <row r="9" spans="1:26" s="16" customFormat="1" ht="23.25" customHeight="1">
      <c r="A9" s="37" t="s">
        <v>9</v>
      </c>
      <c r="B9" s="46">
        <v>3</v>
      </c>
      <c r="C9" s="106">
        <v>3</v>
      </c>
      <c r="D9" s="106">
        <v>1</v>
      </c>
      <c r="E9" s="140">
        <f>B9-(D9+C9)</f>
        <v>-1</v>
      </c>
      <c r="F9" s="141">
        <f>E9/B9*100</f>
        <v>-33.33333333333333</v>
      </c>
      <c r="G9" s="46">
        <f>12-6</f>
        <v>6</v>
      </c>
      <c r="H9" s="106">
        <v>6</v>
      </c>
      <c r="I9" s="106"/>
      <c r="J9" s="140">
        <f>G9-(I9+H9)</f>
        <v>0</v>
      </c>
      <c r="K9" s="141">
        <f>E9+J9</f>
        <v>-1</v>
      </c>
      <c r="L9" s="11">
        <f aca="true" t="shared" si="2" ref="L9:L18">(E9+J9)/(B9+G9)*100</f>
        <v>-11.11111111111111</v>
      </c>
      <c r="M9" s="107"/>
      <c r="N9" s="107"/>
      <c r="O9" s="107"/>
      <c r="P9" s="107">
        <v>0</v>
      </c>
      <c r="Q9" s="107">
        <v>0</v>
      </c>
      <c r="R9" s="11">
        <f t="shared" si="0"/>
        <v>-0.2500625156289072</v>
      </c>
      <c r="S9" s="14"/>
      <c r="T9" s="14"/>
      <c r="U9" s="14">
        <f t="shared" si="1"/>
        <v>0</v>
      </c>
      <c r="W9" s="47"/>
      <c r="X9" s="47"/>
      <c r="Y9" s="47">
        <v>4</v>
      </c>
      <c r="Z9" s="47"/>
    </row>
    <row r="10" spans="1:26" ht="23.25" customHeight="1">
      <c r="A10" s="37" t="s">
        <v>10</v>
      </c>
      <c r="B10" s="46">
        <v>3</v>
      </c>
      <c r="C10" s="106">
        <v>3</v>
      </c>
      <c r="D10" s="106">
        <v>2</v>
      </c>
      <c r="E10" s="140">
        <f aca="true" t="shared" si="3" ref="E10:E18">B10-(D10+C10)</f>
        <v>-2</v>
      </c>
      <c r="F10" s="141">
        <f aca="true" t="shared" si="4" ref="F10:F18">E10/B10*100</f>
        <v>-66.66666666666666</v>
      </c>
      <c r="G10" s="46">
        <f>2-2</f>
        <v>0</v>
      </c>
      <c r="H10" s="106">
        <v>0</v>
      </c>
      <c r="I10" s="106"/>
      <c r="J10" s="140">
        <f aca="true" t="shared" si="5" ref="J10:J18">G10-(I10+H10)</f>
        <v>0</v>
      </c>
      <c r="K10" s="141">
        <f aca="true" t="shared" si="6" ref="K10:K18">E10+J10</f>
        <v>-2</v>
      </c>
      <c r="L10" s="11">
        <f t="shared" si="2"/>
        <v>-66.66666666666666</v>
      </c>
      <c r="M10" s="107"/>
      <c r="N10" s="107"/>
      <c r="O10" s="107"/>
      <c r="P10" s="107">
        <v>0</v>
      </c>
      <c r="Q10" s="108">
        <v>0</v>
      </c>
      <c r="R10" s="11">
        <f t="shared" si="0"/>
        <v>-1.500375093773443</v>
      </c>
      <c r="S10" s="14"/>
      <c r="T10" s="14"/>
      <c r="U10" s="14">
        <f t="shared" si="1"/>
        <v>0</v>
      </c>
      <c r="W10" s="25"/>
      <c r="X10" s="25"/>
      <c r="Y10" s="25">
        <v>3</v>
      </c>
      <c r="Z10" s="25"/>
    </row>
    <row r="11" spans="1:26" ht="23.25" customHeight="1">
      <c r="A11" s="37" t="s">
        <v>11</v>
      </c>
      <c r="B11" s="46">
        <v>10</v>
      </c>
      <c r="C11" s="106">
        <v>7</v>
      </c>
      <c r="D11" s="106">
        <v>1</v>
      </c>
      <c r="E11" s="14">
        <f t="shared" si="3"/>
        <v>2</v>
      </c>
      <c r="F11" s="11">
        <f t="shared" si="4"/>
        <v>20</v>
      </c>
      <c r="G11" s="46">
        <v>0</v>
      </c>
      <c r="H11" s="106">
        <v>0</v>
      </c>
      <c r="I11" s="106"/>
      <c r="J11" s="140">
        <f t="shared" si="5"/>
        <v>0</v>
      </c>
      <c r="K11" s="141">
        <f t="shared" si="6"/>
        <v>2</v>
      </c>
      <c r="L11" s="11">
        <f t="shared" si="2"/>
        <v>20</v>
      </c>
      <c r="M11" s="107"/>
      <c r="N11" s="107"/>
      <c r="O11" s="107"/>
      <c r="P11" s="107">
        <v>0</v>
      </c>
      <c r="Q11" s="108">
        <v>0</v>
      </c>
      <c r="R11" s="11">
        <f t="shared" si="0"/>
        <v>0.45011252813203295</v>
      </c>
      <c r="S11" s="14"/>
      <c r="T11" s="14"/>
      <c r="U11" s="14">
        <f t="shared" si="1"/>
        <v>0</v>
      </c>
      <c r="W11" s="25">
        <v>2</v>
      </c>
      <c r="X11" s="25"/>
      <c r="Y11" s="25"/>
      <c r="Z11" s="25"/>
    </row>
    <row r="12" spans="1:26" ht="23.25" customHeight="1">
      <c r="A12" s="37" t="s">
        <v>16</v>
      </c>
      <c r="B12" s="46">
        <v>3</v>
      </c>
      <c r="C12" s="106">
        <v>1</v>
      </c>
      <c r="D12" s="106"/>
      <c r="E12" s="14">
        <f t="shared" si="3"/>
        <v>2</v>
      </c>
      <c r="F12" s="11">
        <f t="shared" si="4"/>
        <v>66.66666666666666</v>
      </c>
      <c r="G12" s="46">
        <f>2-1</f>
        <v>1</v>
      </c>
      <c r="H12" s="106">
        <v>1</v>
      </c>
      <c r="I12" s="106">
        <v>1</v>
      </c>
      <c r="J12" s="140">
        <f t="shared" si="5"/>
        <v>-1</v>
      </c>
      <c r="K12" s="141">
        <f t="shared" si="6"/>
        <v>1</v>
      </c>
      <c r="L12" s="11">
        <f t="shared" si="2"/>
        <v>25</v>
      </c>
      <c r="M12" s="107"/>
      <c r="N12" s="107">
        <v>1</v>
      </c>
      <c r="O12" s="107"/>
      <c r="P12" s="107">
        <v>1</v>
      </c>
      <c r="Q12" s="108">
        <v>3</v>
      </c>
      <c r="R12" s="11">
        <f t="shared" si="0"/>
        <v>0.5626406601650412</v>
      </c>
      <c r="S12" s="14"/>
      <c r="T12" s="14"/>
      <c r="U12" s="14">
        <f t="shared" si="1"/>
        <v>0</v>
      </c>
      <c r="W12" s="25">
        <v>2</v>
      </c>
      <c r="X12" s="25"/>
      <c r="Y12" s="25">
        <v>2</v>
      </c>
      <c r="Z12" s="25"/>
    </row>
    <row r="13" spans="1:26" ht="23.25" customHeight="1">
      <c r="A13" s="37" t="s">
        <v>12</v>
      </c>
      <c r="B13" s="46">
        <v>3</v>
      </c>
      <c r="C13" s="106">
        <v>2</v>
      </c>
      <c r="D13" s="106">
        <v>1</v>
      </c>
      <c r="E13" s="140">
        <f t="shared" si="3"/>
        <v>0</v>
      </c>
      <c r="F13" s="141">
        <f t="shared" si="4"/>
        <v>0</v>
      </c>
      <c r="G13" s="46">
        <f>2</f>
        <v>2</v>
      </c>
      <c r="H13" s="106">
        <v>2</v>
      </c>
      <c r="I13" s="106">
        <v>1</v>
      </c>
      <c r="J13" s="140">
        <f t="shared" si="5"/>
        <v>-1</v>
      </c>
      <c r="K13" s="141">
        <f t="shared" si="6"/>
        <v>-1</v>
      </c>
      <c r="L13" s="11">
        <f t="shared" si="2"/>
        <v>-20</v>
      </c>
      <c r="M13" s="107"/>
      <c r="N13" s="107"/>
      <c r="O13" s="107"/>
      <c r="P13" s="107">
        <v>0</v>
      </c>
      <c r="Q13" s="108">
        <v>0</v>
      </c>
      <c r="R13" s="11">
        <f t="shared" si="0"/>
        <v>-0.45011252813203295</v>
      </c>
      <c r="S13" s="14"/>
      <c r="T13" s="14"/>
      <c r="U13" s="14">
        <f t="shared" si="1"/>
        <v>0</v>
      </c>
      <c r="W13" s="25"/>
      <c r="X13" s="25"/>
      <c r="Y13" s="25">
        <v>1</v>
      </c>
      <c r="Z13" s="25"/>
    </row>
    <row r="14" spans="1:26" ht="23.25" customHeight="1">
      <c r="A14" s="37" t="s">
        <v>13</v>
      </c>
      <c r="B14" s="46">
        <v>3</v>
      </c>
      <c r="C14" s="106">
        <v>2</v>
      </c>
      <c r="D14" s="106"/>
      <c r="E14" s="14">
        <f t="shared" si="3"/>
        <v>1</v>
      </c>
      <c r="F14" s="11">
        <f t="shared" si="4"/>
        <v>33.33333333333333</v>
      </c>
      <c r="G14" s="46">
        <v>2</v>
      </c>
      <c r="H14" s="106">
        <v>1</v>
      </c>
      <c r="I14" s="106"/>
      <c r="J14" s="14">
        <f t="shared" si="5"/>
        <v>1</v>
      </c>
      <c r="K14" s="11">
        <f t="shared" si="6"/>
        <v>2</v>
      </c>
      <c r="L14" s="11">
        <f t="shared" si="2"/>
        <v>40</v>
      </c>
      <c r="M14" s="107"/>
      <c r="N14" s="107"/>
      <c r="O14" s="107"/>
      <c r="P14" s="107">
        <v>0</v>
      </c>
      <c r="Q14" s="108">
        <v>1</v>
      </c>
      <c r="R14" s="11">
        <f t="shared" si="0"/>
        <v>0.9002250562640659</v>
      </c>
      <c r="S14" s="14"/>
      <c r="T14" s="14"/>
      <c r="U14" s="14">
        <f t="shared" si="1"/>
        <v>0</v>
      </c>
      <c r="W14" s="25"/>
      <c r="X14" s="25"/>
      <c r="Y14" s="25">
        <v>2</v>
      </c>
      <c r="Z14" s="25"/>
    </row>
    <row r="15" spans="1:26" ht="23.25" customHeight="1">
      <c r="A15" s="37" t="s">
        <v>15</v>
      </c>
      <c r="B15" s="46">
        <v>3</v>
      </c>
      <c r="C15" s="106">
        <v>1</v>
      </c>
      <c r="D15" s="106">
        <v>2</v>
      </c>
      <c r="E15" s="14">
        <f t="shared" si="3"/>
        <v>0</v>
      </c>
      <c r="F15" s="11">
        <f t="shared" si="4"/>
        <v>0</v>
      </c>
      <c r="G15" s="46">
        <v>0</v>
      </c>
      <c r="H15" s="106">
        <v>2</v>
      </c>
      <c r="I15" s="106">
        <v>1</v>
      </c>
      <c r="J15" s="140">
        <f t="shared" si="5"/>
        <v>-3</v>
      </c>
      <c r="K15" s="141">
        <f t="shared" si="6"/>
        <v>-3</v>
      </c>
      <c r="L15" s="11">
        <f t="shared" si="2"/>
        <v>-100</v>
      </c>
      <c r="M15" s="107"/>
      <c r="N15" s="107"/>
      <c r="O15" s="107"/>
      <c r="P15" s="107">
        <v>0</v>
      </c>
      <c r="Q15" s="108">
        <v>1</v>
      </c>
      <c r="R15" s="11">
        <f t="shared" si="0"/>
        <v>-2.250562640660165</v>
      </c>
      <c r="S15" s="14"/>
      <c r="T15" s="14"/>
      <c r="U15" s="14">
        <f t="shared" si="1"/>
        <v>0</v>
      </c>
      <c r="W15" s="25"/>
      <c r="X15" s="25"/>
      <c r="Y15" s="25">
        <v>1</v>
      </c>
      <c r="Z15" s="25"/>
    </row>
    <row r="16" spans="1:26" ht="23.25" customHeight="1">
      <c r="A16" s="37" t="s">
        <v>14</v>
      </c>
      <c r="B16" s="46">
        <v>3</v>
      </c>
      <c r="C16" s="106">
        <v>2</v>
      </c>
      <c r="D16" s="106"/>
      <c r="E16" s="14">
        <f t="shared" si="3"/>
        <v>1</v>
      </c>
      <c r="F16" s="11">
        <f t="shared" si="4"/>
        <v>33.33333333333333</v>
      </c>
      <c r="G16" s="46">
        <v>1</v>
      </c>
      <c r="H16" s="106">
        <v>2</v>
      </c>
      <c r="I16" s="106"/>
      <c r="J16" s="140">
        <f t="shared" si="5"/>
        <v>-1</v>
      </c>
      <c r="K16" s="141">
        <f t="shared" si="6"/>
        <v>0</v>
      </c>
      <c r="L16" s="11">
        <f t="shared" si="2"/>
        <v>0</v>
      </c>
      <c r="M16" s="107"/>
      <c r="N16" s="107"/>
      <c r="O16" s="107"/>
      <c r="P16" s="107">
        <v>0</v>
      </c>
      <c r="Q16" s="108">
        <v>0</v>
      </c>
      <c r="R16" s="11">
        <f t="shared" si="0"/>
        <v>0</v>
      </c>
      <c r="S16" s="14"/>
      <c r="T16" s="14"/>
      <c r="U16" s="14">
        <f t="shared" si="1"/>
        <v>0</v>
      </c>
      <c r="W16" s="25"/>
      <c r="X16" s="25"/>
      <c r="Y16" s="25">
        <v>2</v>
      </c>
      <c r="Z16" s="25"/>
    </row>
    <row r="17" spans="1:26" ht="23.25" customHeight="1">
      <c r="A17" s="37" t="s">
        <v>17</v>
      </c>
      <c r="B17" s="46">
        <v>3</v>
      </c>
      <c r="C17" s="106">
        <v>2</v>
      </c>
      <c r="D17" s="106"/>
      <c r="E17" s="14">
        <f t="shared" si="3"/>
        <v>1</v>
      </c>
      <c r="F17" s="11">
        <f t="shared" si="4"/>
        <v>33.33333333333333</v>
      </c>
      <c r="G17" s="46">
        <v>0</v>
      </c>
      <c r="H17" s="106">
        <v>0</v>
      </c>
      <c r="I17" s="106">
        <v>0</v>
      </c>
      <c r="J17" s="140">
        <f t="shared" si="5"/>
        <v>0</v>
      </c>
      <c r="K17" s="141">
        <f t="shared" si="6"/>
        <v>1</v>
      </c>
      <c r="L17" s="11">
        <f t="shared" si="2"/>
        <v>33.33333333333333</v>
      </c>
      <c r="M17" s="107"/>
      <c r="N17" s="109"/>
      <c r="O17" s="109"/>
      <c r="P17" s="107">
        <v>0</v>
      </c>
      <c r="Q17" s="108">
        <v>0</v>
      </c>
      <c r="R17" s="11">
        <f t="shared" si="0"/>
        <v>0.7501875468867215</v>
      </c>
      <c r="S17" s="14"/>
      <c r="T17" s="14"/>
      <c r="U17" s="14">
        <f t="shared" si="1"/>
        <v>0</v>
      </c>
      <c r="W17" s="25">
        <v>1</v>
      </c>
      <c r="X17" s="25"/>
      <c r="Y17" s="25">
        <v>1</v>
      </c>
      <c r="Z17" s="25">
        <v>1</v>
      </c>
    </row>
    <row r="18" spans="1:26" ht="23.25" customHeight="1">
      <c r="A18" s="17"/>
      <c r="B18" s="21">
        <f>SUM(B7:B17)</f>
        <v>41</v>
      </c>
      <c r="C18" s="21">
        <f>SUM(C7:C17)</f>
        <v>30</v>
      </c>
      <c r="D18" s="21">
        <f>SUM(D7:D17)</f>
        <v>10</v>
      </c>
      <c r="E18" s="14">
        <f t="shared" si="3"/>
        <v>1</v>
      </c>
      <c r="F18" s="11">
        <f t="shared" si="4"/>
        <v>2.4390243902439024</v>
      </c>
      <c r="G18" s="21">
        <f>SUM(G7:G17)</f>
        <v>17</v>
      </c>
      <c r="H18" s="21">
        <f>SUM(H7:H17)</f>
        <v>26</v>
      </c>
      <c r="I18" s="21">
        <f>SUM(I7:I17)</f>
        <v>6</v>
      </c>
      <c r="J18" s="14">
        <f t="shared" si="5"/>
        <v>-15</v>
      </c>
      <c r="K18" s="11">
        <f t="shared" si="6"/>
        <v>-14</v>
      </c>
      <c r="L18" s="11">
        <f t="shared" si="2"/>
        <v>-24.137931034482758</v>
      </c>
      <c r="M18" s="14">
        <f aca="true" t="shared" si="7" ref="M18:T18">SUM(M7:M17)</f>
        <v>0</v>
      </c>
      <c r="N18" s="14">
        <f t="shared" si="7"/>
        <v>4</v>
      </c>
      <c r="O18" s="14">
        <f t="shared" si="7"/>
        <v>0</v>
      </c>
      <c r="P18" s="14">
        <f t="shared" si="7"/>
        <v>1</v>
      </c>
      <c r="Q18" s="14">
        <f t="shared" si="7"/>
        <v>8</v>
      </c>
      <c r="R18" s="14">
        <f t="shared" si="7"/>
        <v>-6.73918479619905</v>
      </c>
      <c r="S18" s="14">
        <f t="shared" si="7"/>
        <v>0</v>
      </c>
      <c r="T18" s="14">
        <f t="shared" si="7"/>
        <v>0</v>
      </c>
      <c r="U18" s="14">
        <f t="shared" si="1"/>
        <v>0</v>
      </c>
      <c r="W18" s="25">
        <f>SUM(W7:W17)</f>
        <v>6</v>
      </c>
      <c r="X18" s="25">
        <f>SUM(X7:X17)</f>
        <v>0</v>
      </c>
      <c r="Y18" s="25">
        <f>SUM(Y7:Y17)</f>
        <v>21</v>
      </c>
      <c r="Z18" s="25">
        <f>SUM(Z7:Z17)</f>
        <v>2</v>
      </c>
    </row>
    <row r="19" spans="1:18" ht="24.75" customHeight="1">
      <c r="A19" s="19" t="s">
        <v>52</v>
      </c>
      <c r="H19" s="1" t="s">
        <v>244</v>
      </c>
      <c r="I19" s="20"/>
      <c r="R19" s="48">
        <v>119.52</v>
      </c>
    </row>
    <row r="20" ht="24.75" customHeight="1">
      <c r="B20" s="19" t="s">
        <v>129</v>
      </c>
    </row>
    <row r="21" spans="5:14" s="48" customFormat="1" ht="24.75" customHeight="1">
      <c r="E21" s="48" t="s">
        <v>85</v>
      </c>
      <c r="J21" s="48" t="s">
        <v>85</v>
      </c>
      <c r="K21" s="48" t="s">
        <v>86</v>
      </c>
      <c r="L21" s="48" t="s">
        <v>88</v>
      </c>
      <c r="N21" s="48" t="s">
        <v>89</v>
      </c>
    </row>
    <row r="22" spans="5:14" s="48" customFormat="1" ht="24.75" customHeight="1">
      <c r="E22" s="48">
        <v>3</v>
      </c>
      <c r="J22" s="48">
        <v>8</v>
      </c>
      <c r="K22" s="48">
        <f>J22+E22</f>
        <v>11</v>
      </c>
      <c r="L22" s="48">
        <v>8</v>
      </c>
      <c r="M22" s="48">
        <f>K22-L22</f>
        <v>3</v>
      </c>
      <c r="N22" s="48">
        <v>5</v>
      </c>
    </row>
    <row r="23" ht="24.75" customHeight="1"/>
    <row r="24" ht="24.75" customHeight="1"/>
    <row r="25" ht="24.75" customHeight="1"/>
  </sheetData>
  <sheetProtection/>
  <mergeCells count="28">
    <mergeCell ref="W5:X5"/>
    <mergeCell ref="Y5:Z5"/>
    <mergeCell ref="W4:Z4"/>
    <mergeCell ref="S5:S6"/>
    <mergeCell ref="T5:T6"/>
    <mergeCell ref="U5:U6"/>
    <mergeCell ref="J5:J6"/>
    <mergeCell ref="K5:K6"/>
    <mergeCell ref="M5:M6"/>
    <mergeCell ref="N5:N6"/>
    <mergeCell ref="P5:P6"/>
    <mergeCell ref="Q5:Q6"/>
    <mergeCell ref="B5:B6"/>
    <mergeCell ref="C5:D5"/>
    <mergeCell ref="E5:E6"/>
    <mergeCell ref="F5:F6"/>
    <mergeCell ref="G5:G6"/>
    <mergeCell ref="H5:I5"/>
    <mergeCell ref="A2:U2"/>
    <mergeCell ref="A4:A6"/>
    <mergeCell ref="B4:F4"/>
    <mergeCell ref="G4:K4"/>
    <mergeCell ref="L4:L6"/>
    <mergeCell ref="M4:N4"/>
    <mergeCell ref="O4:O6"/>
    <mergeCell ref="P4:Q4"/>
    <mergeCell ref="R4:R6"/>
    <mergeCell ref="S4:U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81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8" sqref="F18"/>
    </sheetView>
  </sheetViews>
  <sheetFormatPr defaultColWidth="9.00390625" defaultRowHeight="12.75"/>
  <cols>
    <col min="1" max="1" width="7.7109375" style="124" bestFit="1" customWidth="1"/>
    <col min="2" max="2" width="32.140625" style="124" customWidth="1"/>
    <col min="3" max="3" width="34.421875" style="124" bestFit="1" customWidth="1"/>
    <col min="4" max="4" width="18.421875" style="124" bestFit="1" customWidth="1"/>
    <col min="5" max="5" width="22.28125" style="124" bestFit="1" customWidth="1"/>
    <col min="6" max="6" width="18.8515625" style="124" customWidth="1"/>
    <col min="7" max="7" width="6.00390625" style="124" customWidth="1"/>
    <col min="8" max="9" width="8.57421875" style="124" customWidth="1"/>
    <col min="10" max="10" width="28.8515625" style="131" customWidth="1"/>
    <col min="11" max="11" width="9.00390625" style="123" hidden="1" customWidth="1"/>
    <col min="12" max="38" width="9.00390625" style="123" customWidth="1"/>
    <col min="39" max="16384" width="9.00390625" style="124" customWidth="1"/>
  </cols>
  <sheetData>
    <row r="1" spans="1:44" s="121" customFormat="1" ht="23.25">
      <c r="A1" s="224" t="s">
        <v>241</v>
      </c>
      <c r="B1" s="224"/>
      <c r="C1" s="224"/>
      <c r="D1" s="224"/>
      <c r="E1" s="224"/>
      <c r="F1" s="224"/>
      <c r="G1" s="224"/>
      <c r="H1" s="224"/>
      <c r="I1" s="224"/>
      <c r="J1" s="224"/>
      <c r="K1" s="119"/>
      <c r="L1" s="119"/>
      <c r="M1" s="119"/>
      <c r="N1" s="119"/>
      <c r="O1" s="119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</row>
    <row r="2" spans="1:44" s="121" customFormat="1" ht="23.25">
      <c r="A2" s="224" t="s">
        <v>131</v>
      </c>
      <c r="B2" s="224"/>
      <c r="C2" s="224"/>
      <c r="D2" s="224"/>
      <c r="E2" s="224"/>
      <c r="F2" s="224"/>
      <c r="G2" s="224"/>
      <c r="H2" s="224"/>
      <c r="I2" s="224"/>
      <c r="J2" s="224"/>
      <c r="K2" s="119"/>
      <c r="L2" s="119"/>
      <c r="M2" s="119"/>
      <c r="N2" s="119"/>
      <c r="O2" s="119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</row>
    <row r="3" spans="1:44" s="121" customFormat="1" ht="23.25">
      <c r="A3" s="224" t="s">
        <v>242</v>
      </c>
      <c r="B3" s="224"/>
      <c r="C3" s="224"/>
      <c r="D3" s="224"/>
      <c r="E3" s="224"/>
      <c r="F3" s="224"/>
      <c r="G3" s="224"/>
      <c r="H3" s="224"/>
      <c r="I3" s="224"/>
      <c r="J3" s="224"/>
      <c r="K3" s="119"/>
      <c r="L3" s="119"/>
      <c r="M3" s="119"/>
      <c r="N3" s="119"/>
      <c r="O3" s="119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</row>
    <row r="4" spans="1:10" ht="20.25" customHeight="1">
      <c r="A4" s="223" t="s">
        <v>111</v>
      </c>
      <c r="B4" s="225" t="s">
        <v>112</v>
      </c>
      <c r="C4" s="225" t="s">
        <v>113</v>
      </c>
      <c r="D4" s="225" t="s">
        <v>114</v>
      </c>
      <c r="E4" s="225" t="s">
        <v>132</v>
      </c>
      <c r="F4" s="122" t="s">
        <v>47</v>
      </c>
      <c r="G4" s="225" t="s">
        <v>133</v>
      </c>
      <c r="H4" s="225"/>
      <c r="I4" s="225"/>
      <c r="J4" s="223" t="s">
        <v>134</v>
      </c>
    </row>
    <row r="5" spans="1:10" ht="20.25">
      <c r="A5" s="223"/>
      <c r="B5" s="225"/>
      <c r="C5" s="225"/>
      <c r="D5" s="225"/>
      <c r="E5" s="225"/>
      <c r="F5" s="118" t="s">
        <v>135</v>
      </c>
      <c r="G5" s="118" t="s">
        <v>136</v>
      </c>
      <c r="H5" s="118" t="s">
        <v>137</v>
      </c>
      <c r="I5" s="118" t="s">
        <v>138</v>
      </c>
      <c r="J5" s="223"/>
    </row>
    <row r="6" spans="1:38" ht="20.25">
      <c r="A6" s="90">
        <v>1</v>
      </c>
      <c r="B6" s="125" t="s">
        <v>139</v>
      </c>
      <c r="C6" s="126" t="s">
        <v>116</v>
      </c>
      <c r="D6" s="91" t="s">
        <v>140</v>
      </c>
      <c r="E6" s="128" t="s">
        <v>141</v>
      </c>
      <c r="F6" s="127" t="s">
        <v>142</v>
      </c>
      <c r="G6" s="90">
        <v>15</v>
      </c>
      <c r="H6" s="90" t="s">
        <v>143</v>
      </c>
      <c r="I6" s="90">
        <v>2566</v>
      </c>
      <c r="J6" s="128" t="s">
        <v>144</v>
      </c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</row>
    <row r="7" spans="1:38" ht="20.25">
      <c r="A7" s="90">
        <v>2</v>
      </c>
      <c r="B7" s="125" t="s">
        <v>145</v>
      </c>
      <c r="C7" s="126" t="s">
        <v>116</v>
      </c>
      <c r="D7" s="91" t="s">
        <v>146</v>
      </c>
      <c r="E7" s="128" t="s">
        <v>141</v>
      </c>
      <c r="F7" s="127" t="s">
        <v>142</v>
      </c>
      <c r="G7" s="90">
        <v>15</v>
      </c>
      <c r="H7" s="90" t="s">
        <v>143</v>
      </c>
      <c r="I7" s="90">
        <v>2566</v>
      </c>
      <c r="J7" s="128" t="s">
        <v>121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</row>
    <row r="8" spans="1:38" ht="20.25">
      <c r="A8" s="90">
        <v>3</v>
      </c>
      <c r="B8" s="125" t="s">
        <v>147</v>
      </c>
      <c r="C8" s="126" t="s">
        <v>116</v>
      </c>
      <c r="D8" s="128" t="s">
        <v>117</v>
      </c>
      <c r="E8" s="128" t="s">
        <v>141</v>
      </c>
      <c r="F8" s="127"/>
      <c r="G8" s="90">
        <v>15</v>
      </c>
      <c r="H8" s="90" t="s">
        <v>143</v>
      </c>
      <c r="I8" s="90">
        <v>2566</v>
      </c>
      <c r="J8" s="128" t="s">
        <v>121</v>
      </c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</row>
    <row r="9" spans="1:38" ht="20.25">
      <c r="A9" s="90">
        <v>4</v>
      </c>
      <c r="B9" s="125" t="s">
        <v>148</v>
      </c>
      <c r="C9" s="126" t="s">
        <v>116</v>
      </c>
      <c r="D9" s="128" t="s">
        <v>117</v>
      </c>
      <c r="E9" s="128" t="s">
        <v>141</v>
      </c>
      <c r="F9" s="127"/>
      <c r="G9" s="90">
        <v>15</v>
      </c>
      <c r="H9" s="90" t="s">
        <v>143</v>
      </c>
      <c r="I9" s="90">
        <v>2566</v>
      </c>
      <c r="J9" s="128" t="s">
        <v>121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</row>
    <row r="10" spans="1:38" ht="20.25">
      <c r="A10" s="90">
        <v>5</v>
      </c>
      <c r="B10" s="125" t="s">
        <v>149</v>
      </c>
      <c r="C10" s="126" t="s">
        <v>116</v>
      </c>
      <c r="D10" s="128" t="s">
        <v>117</v>
      </c>
      <c r="E10" s="128" t="s">
        <v>141</v>
      </c>
      <c r="F10" s="127"/>
      <c r="G10" s="90">
        <v>15</v>
      </c>
      <c r="H10" s="90" t="s">
        <v>143</v>
      </c>
      <c r="I10" s="90">
        <v>2566</v>
      </c>
      <c r="J10" s="128" t="s">
        <v>121</v>
      </c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</row>
    <row r="11" spans="1:38" ht="20.25">
      <c r="A11" s="90">
        <v>6</v>
      </c>
      <c r="B11" s="125" t="s">
        <v>150</v>
      </c>
      <c r="C11" s="126" t="s">
        <v>116</v>
      </c>
      <c r="D11" s="128" t="s">
        <v>117</v>
      </c>
      <c r="E11" s="128" t="s">
        <v>141</v>
      </c>
      <c r="F11" s="127"/>
      <c r="G11" s="90">
        <v>15</v>
      </c>
      <c r="H11" s="90" t="s">
        <v>143</v>
      </c>
      <c r="I11" s="90">
        <v>2566</v>
      </c>
      <c r="J11" s="128" t="s">
        <v>121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</row>
    <row r="12" spans="1:38" ht="20.25">
      <c r="A12" s="90">
        <v>7</v>
      </c>
      <c r="B12" s="125" t="s">
        <v>151</v>
      </c>
      <c r="C12" s="126" t="s">
        <v>116</v>
      </c>
      <c r="D12" s="128" t="s">
        <v>117</v>
      </c>
      <c r="E12" s="128" t="s">
        <v>141</v>
      </c>
      <c r="F12" s="127"/>
      <c r="G12" s="90">
        <v>15</v>
      </c>
      <c r="H12" s="90" t="s">
        <v>143</v>
      </c>
      <c r="I12" s="90">
        <v>2566</v>
      </c>
      <c r="J12" s="128" t="s">
        <v>121</v>
      </c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</row>
    <row r="13" spans="1:38" ht="20.25">
      <c r="A13" s="90">
        <v>8</v>
      </c>
      <c r="B13" s="125" t="s">
        <v>152</v>
      </c>
      <c r="C13" s="126" t="s">
        <v>116</v>
      </c>
      <c r="D13" s="128" t="s">
        <v>117</v>
      </c>
      <c r="E13" s="128" t="s">
        <v>141</v>
      </c>
      <c r="F13" s="127"/>
      <c r="G13" s="90">
        <v>15</v>
      </c>
      <c r="H13" s="90" t="s">
        <v>143</v>
      </c>
      <c r="I13" s="90">
        <v>2566</v>
      </c>
      <c r="J13" s="128" t="s">
        <v>121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</row>
    <row r="14" spans="1:38" ht="20.25">
      <c r="A14" s="90">
        <v>9</v>
      </c>
      <c r="B14" s="125" t="s">
        <v>153</v>
      </c>
      <c r="C14" s="126" t="s">
        <v>116</v>
      </c>
      <c r="D14" s="128" t="s">
        <v>117</v>
      </c>
      <c r="E14" s="128" t="s">
        <v>141</v>
      </c>
      <c r="F14" s="127"/>
      <c r="G14" s="90">
        <v>15</v>
      </c>
      <c r="H14" s="90" t="s">
        <v>143</v>
      </c>
      <c r="I14" s="90">
        <v>2566</v>
      </c>
      <c r="J14" s="128" t="s">
        <v>121</v>
      </c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</row>
    <row r="15" spans="1:38" ht="20.25">
      <c r="A15" s="90">
        <v>10</v>
      </c>
      <c r="B15" s="125" t="s">
        <v>154</v>
      </c>
      <c r="C15" s="126" t="s">
        <v>116</v>
      </c>
      <c r="D15" s="128" t="s">
        <v>117</v>
      </c>
      <c r="E15" s="128" t="s">
        <v>141</v>
      </c>
      <c r="F15" s="127"/>
      <c r="G15" s="90">
        <v>15</v>
      </c>
      <c r="H15" s="90" t="s">
        <v>143</v>
      </c>
      <c r="I15" s="90">
        <v>2566</v>
      </c>
      <c r="J15" s="128" t="s">
        <v>121</v>
      </c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</row>
    <row r="16" spans="1:38" ht="20.25">
      <c r="A16" s="90">
        <v>11</v>
      </c>
      <c r="B16" s="125" t="s">
        <v>155</v>
      </c>
      <c r="C16" s="126" t="s">
        <v>116</v>
      </c>
      <c r="D16" s="128" t="s">
        <v>117</v>
      </c>
      <c r="E16" s="128" t="s">
        <v>141</v>
      </c>
      <c r="F16" s="127"/>
      <c r="G16" s="90">
        <v>15</v>
      </c>
      <c r="H16" s="90" t="s">
        <v>143</v>
      </c>
      <c r="I16" s="90">
        <v>2566</v>
      </c>
      <c r="J16" s="128" t="s">
        <v>121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</row>
    <row r="17" spans="1:38" ht="20.25">
      <c r="A17" s="90">
        <v>12</v>
      </c>
      <c r="B17" s="125" t="s">
        <v>156</v>
      </c>
      <c r="C17" s="126" t="s">
        <v>116</v>
      </c>
      <c r="D17" s="128" t="s">
        <v>117</v>
      </c>
      <c r="E17" s="128" t="s">
        <v>141</v>
      </c>
      <c r="F17" s="127"/>
      <c r="G17" s="90">
        <v>15</v>
      </c>
      <c r="H17" s="90" t="s">
        <v>143</v>
      </c>
      <c r="I17" s="90">
        <v>2566</v>
      </c>
      <c r="J17" s="128" t="s">
        <v>121</v>
      </c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</row>
    <row r="18" spans="1:38" ht="20.25">
      <c r="A18" s="90">
        <v>13</v>
      </c>
      <c r="B18" s="125" t="s">
        <v>157</v>
      </c>
      <c r="C18" s="126" t="s">
        <v>116</v>
      </c>
      <c r="D18" s="128" t="s">
        <v>117</v>
      </c>
      <c r="E18" s="128" t="s">
        <v>141</v>
      </c>
      <c r="F18" s="127"/>
      <c r="G18" s="90">
        <v>15</v>
      </c>
      <c r="H18" s="90" t="s">
        <v>143</v>
      </c>
      <c r="I18" s="90">
        <v>2566</v>
      </c>
      <c r="J18" s="128" t="s">
        <v>121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</row>
    <row r="19" spans="1:38" ht="20.25">
      <c r="A19" s="90">
        <v>14</v>
      </c>
      <c r="B19" s="125" t="s">
        <v>158</v>
      </c>
      <c r="C19" s="126" t="s">
        <v>116</v>
      </c>
      <c r="D19" s="128" t="s">
        <v>117</v>
      </c>
      <c r="E19" s="128" t="s">
        <v>141</v>
      </c>
      <c r="F19" s="127"/>
      <c r="G19" s="90">
        <v>15</v>
      </c>
      <c r="H19" s="90" t="s">
        <v>143</v>
      </c>
      <c r="I19" s="90">
        <v>2566</v>
      </c>
      <c r="J19" s="128" t="s">
        <v>121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</row>
    <row r="20" spans="1:38" ht="20.25">
      <c r="A20" s="90">
        <v>15</v>
      </c>
      <c r="B20" s="125" t="s">
        <v>159</v>
      </c>
      <c r="C20" s="126" t="s">
        <v>116</v>
      </c>
      <c r="D20" s="128" t="s">
        <v>117</v>
      </c>
      <c r="E20" s="128" t="s">
        <v>141</v>
      </c>
      <c r="F20" s="127"/>
      <c r="G20" s="90">
        <v>15</v>
      </c>
      <c r="H20" s="90" t="s">
        <v>143</v>
      </c>
      <c r="I20" s="90">
        <v>2566</v>
      </c>
      <c r="J20" s="128" t="s">
        <v>121</v>
      </c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</row>
    <row r="21" spans="1:38" ht="20.25">
      <c r="A21" s="90">
        <v>16</v>
      </c>
      <c r="B21" s="125" t="s">
        <v>160</v>
      </c>
      <c r="C21" s="126" t="s">
        <v>116</v>
      </c>
      <c r="D21" s="128" t="s">
        <v>117</v>
      </c>
      <c r="E21" s="128" t="s">
        <v>141</v>
      </c>
      <c r="F21" s="127"/>
      <c r="G21" s="90">
        <v>15</v>
      </c>
      <c r="H21" s="90" t="s">
        <v>143</v>
      </c>
      <c r="I21" s="90">
        <v>2566</v>
      </c>
      <c r="J21" s="128" t="s">
        <v>121</v>
      </c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</row>
    <row r="22" spans="1:38" ht="20.25">
      <c r="A22" s="90">
        <v>17</v>
      </c>
      <c r="B22" s="125" t="s">
        <v>161</v>
      </c>
      <c r="C22" s="126" t="s">
        <v>116</v>
      </c>
      <c r="D22" s="128" t="s">
        <v>117</v>
      </c>
      <c r="E22" s="128" t="s">
        <v>141</v>
      </c>
      <c r="F22" s="127"/>
      <c r="G22" s="90">
        <v>15</v>
      </c>
      <c r="H22" s="90" t="s">
        <v>143</v>
      </c>
      <c r="I22" s="90">
        <v>2566</v>
      </c>
      <c r="J22" s="128" t="s">
        <v>121</v>
      </c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</row>
    <row r="23" spans="1:38" ht="20.25">
      <c r="A23" s="90">
        <v>18</v>
      </c>
      <c r="B23" s="125" t="s">
        <v>162</v>
      </c>
      <c r="C23" s="126" t="s">
        <v>116</v>
      </c>
      <c r="D23" s="128" t="s">
        <v>117</v>
      </c>
      <c r="E23" s="128" t="s">
        <v>141</v>
      </c>
      <c r="F23" s="127"/>
      <c r="G23" s="90">
        <v>15</v>
      </c>
      <c r="H23" s="90" t="s">
        <v>143</v>
      </c>
      <c r="I23" s="90">
        <v>2566</v>
      </c>
      <c r="J23" s="128" t="s">
        <v>121</v>
      </c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spans="1:38" ht="20.25">
      <c r="A24" s="90">
        <v>19</v>
      </c>
      <c r="B24" s="125" t="s">
        <v>163</v>
      </c>
      <c r="C24" s="126" t="s">
        <v>116</v>
      </c>
      <c r="D24" s="128" t="s">
        <v>117</v>
      </c>
      <c r="E24" s="128" t="s">
        <v>141</v>
      </c>
      <c r="F24" s="127"/>
      <c r="G24" s="90">
        <v>15</v>
      </c>
      <c r="H24" s="90" t="s">
        <v>143</v>
      </c>
      <c r="I24" s="90">
        <v>2566</v>
      </c>
      <c r="J24" s="128" t="s">
        <v>121</v>
      </c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</row>
    <row r="25" spans="1:38" ht="20.25">
      <c r="A25" s="90">
        <v>20</v>
      </c>
      <c r="B25" s="125" t="s">
        <v>164</v>
      </c>
      <c r="C25" s="126" t="s">
        <v>116</v>
      </c>
      <c r="D25" s="128" t="s">
        <v>117</v>
      </c>
      <c r="E25" s="128" t="s">
        <v>141</v>
      </c>
      <c r="F25" s="127"/>
      <c r="G25" s="90">
        <v>15</v>
      </c>
      <c r="H25" s="90" t="s">
        <v>143</v>
      </c>
      <c r="I25" s="90">
        <v>2566</v>
      </c>
      <c r="J25" s="128" t="s">
        <v>121</v>
      </c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</row>
    <row r="26" spans="1:38" ht="20.25">
      <c r="A26" s="90">
        <v>21</v>
      </c>
      <c r="B26" s="125" t="s">
        <v>165</v>
      </c>
      <c r="C26" s="126" t="s">
        <v>116</v>
      </c>
      <c r="D26" s="128" t="s">
        <v>117</v>
      </c>
      <c r="E26" s="128" t="s">
        <v>141</v>
      </c>
      <c r="F26" s="127"/>
      <c r="G26" s="90">
        <v>15</v>
      </c>
      <c r="H26" s="90" t="s">
        <v>143</v>
      </c>
      <c r="I26" s="90">
        <v>2566</v>
      </c>
      <c r="J26" s="128" t="s">
        <v>121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</row>
    <row r="27" spans="1:12" s="134" customFormat="1" ht="20.25">
      <c r="A27" s="116">
        <v>22</v>
      </c>
      <c r="B27" s="132" t="s">
        <v>226</v>
      </c>
      <c r="C27" s="132" t="s">
        <v>116</v>
      </c>
      <c r="D27" s="132" t="s">
        <v>117</v>
      </c>
      <c r="E27" s="132" t="s">
        <v>141</v>
      </c>
      <c r="F27" s="133"/>
      <c r="G27" s="116">
        <v>15</v>
      </c>
      <c r="H27" s="116" t="s">
        <v>143</v>
      </c>
      <c r="I27" s="116">
        <v>2566</v>
      </c>
      <c r="J27" s="132" t="s">
        <v>121</v>
      </c>
      <c r="L27" s="134" t="s">
        <v>227</v>
      </c>
    </row>
    <row r="28" spans="1:38" ht="20.25">
      <c r="A28" s="90">
        <v>1</v>
      </c>
      <c r="B28" s="125" t="s">
        <v>166</v>
      </c>
      <c r="C28" s="126" t="s">
        <v>116</v>
      </c>
      <c r="D28" s="91" t="s">
        <v>115</v>
      </c>
      <c r="E28" s="128" t="s">
        <v>141</v>
      </c>
      <c r="F28" s="127"/>
      <c r="G28" s="90">
        <v>15</v>
      </c>
      <c r="H28" s="90" t="s">
        <v>143</v>
      </c>
      <c r="I28" s="90">
        <v>2566</v>
      </c>
      <c r="J28" s="128" t="s">
        <v>121</v>
      </c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</row>
    <row r="29" spans="1:38" ht="20.25">
      <c r="A29" s="90">
        <v>2</v>
      </c>
      <c r="B29" s="125" t="s">
        <v>167</v>
      </c>
      <c r="C29" s="126" t="s">
        <v>116</v>
      </c>
      <c r="D29" s="91" t="s">
        <v>115</v>
      </c>
      <c r="E29" s="128" t="s">
        <v>141</v>
      </c>
      <c r="F29" s="127"/>
      <c r="G29" s="90">
        <v>15</v>
      </c>
      <c r="H29" s="90" t="s">
        <v>143</v>
      </c>
      <c r="I29" s="90">
        <v>2566</v>
      </c>
      <c r="J29" s="128" t="s">
        <v>121</v>
      </c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</row>
    <row r="30" spans="1:38" ht="20.25">
      <c r="A30" s="90">
        <v>3</v>
      </c>
      <c r="B30" s="125" t="s">
        <v>168</v>
      </c>
      <c r="C30" s="126" t="s">
        <v>116</v>
      </c>
      <c r="D30" s="91" t="s">
        <v>115</v>
      </c>
      <c r="E30" s="128" t="s">
        <v>141</v>
      </c>
      <c r="F30" s="127"/>
      <c r="G30" s="90">
        <v>15</v>
      </c>
      <c r="H30" s="90" t="s">
        <v>143</v>
      </c>
      <c r="I30" s="90">
        <v>2566</v>
      </c>
      <c r="J30" s="128" t="s">
        <v>121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</row>
    <row r="31" spans="1:38" ht="20.25">
      <c r="A31" s="90">
        <v>4</v>
      </c>
      <c r="B31" s="125" t="s">
        <v>169</v>
      </c>
      <c r="C31" s="126" t="s">
        <v>116</v>
      </c>
      <c r="D31" s="91" t="s">
        <v>115</v>
      </c>
      <c r="E31" s="128" t="s">
        <v>141</v>
      </c>
      <c r="F31" s="127"/>
      <c r="G31" s="90">
        <v>15</v>
      </c>
      <c r="H31" s="90" t="s">
        <v>143</v>
      </c>
      <c r="I31" s="90">
        <v>2566</v>
      </c>
      <c r="J31" s="128" t="s">
        <v>121</v>
      </c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</row>
    <row r="32" spans="1:38" ht="20.25">
      <c r="A32" s="90">
        <v>5</v>
      </c>
      <c r="B32" s="125" t="s">
        <v>170</v>
      </c>
      <c r="C32" s="126" t="s">
        <v>116</v>
      </c>
      <c r="D32" s="91" t="s">
        <v>115</v>
      </c>
      <c r="E32" s="128" t="s">
        <v>141</v>
      </c>
      <c r="F32" s="127"/>
      <c r="G32" s="90">
        <v>15</v>
      </c>
      <c r="H32" s="90" t="s">
        <v>143</v>
      </c>
      <c r="I32" s="90">
        <v>2566</v>
      </c>
      <c r="J32" s="128" t="s">
        <v>121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</row>
    <row r="33" spans="1:38" ht="20.25">
      <c r="A33" s="90">
        <v>6</v>
      </c>
      <c r="B33" s="125" t="s">
        <v>171</v>
      </c>
      <c r="C33" s="126" t="s">
        <v>116</v>
      </c>
      <c r="D33" s="91" t="s">
        <v>115</v>
      </c>
      <c r="E33" s="128" t="s">
        <v>141</v>
      </c>
      <c r="F33" s="127"/>
      <c r="G33" s="90">
        <v>15</v>
      </c>
      <c r="H33" s="90" t="s">
        <v>143</v>
      </c>
      <c r="I33" s="90">
        <v>2566</v>
      </c>
      <c r="J33" s="128" t="s">
        <v>121</v>
      </c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</row>
    <row r="34" spans="1:38" ht="20.25">
      <c r="A34" s="90">
        <v>7</v>
      </c>
      <c r="B34" s="125" t="s">
        <v>172</v>
      </c>
      <c r="C34" s="126" t="s">
        <v>116</v>
      </c>
      <c r="D34" s="91" t="s">
        <v>115</v>
      </c>
      <c r="E34" s="128" t="s">
        <v>141</v>
      </c>
      <c r="F34" s="127"/>
      <c r="G34" s="90">
        <v>15</v>
      </c>
      <c r="H34" s="90" t="s">
        <v>143</v>
      </c>
      <c r="I34" s="90">
        <v>2566</v>
      </c>
      <c r="J34" s="128" t="s">
        <v>121</v>
      </c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</row>
    <row r="35" spans="1:38" ht="20.25">
      <c r="A35" s="90">
        <v>8</v>
      </c>
      <c r="B35" s="125" t="s">
        <v>173</v>
      </c>
      <c r="C35" s="126" t="s">
        <v>116</v>
      </c>
      <c r="D35" s="91" t="s">
        <v>115</v>
      </c>
      <c r="E35" s="128" t="s">
        <v>141</v>
      </c>
      <c r="F35" s="127"/>
      <c r="G35" s="90">
        <v>15</v>
      </c>
      <c r="H35" s="90" t="s">
        <v>143</v>
      </c>
      <c r="I35" s="90">
        <v>2566</v>
      </c>
      <c r="J35" s="128" t="s">
        <v>121</v>
      </c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</row>
    <row r="36" spans="1:38" ht="20.25">
      <c r="A36" s="90">
        <v>9</v>
      </c>
      <c r="B36" s="125" t="s">
        <v>174</v>
      </c>
      <c r="C36" s="126" t="s">
        <v>116</v>
      </c>
      <c r="D36" s="91" t="s">
        <v>115</v>
      </c>
      <c r="E36" s="128" t="s">
        <v>141</v>
      </c>
      <c r="F36" s="127"/>
      <c r="G36" s="90">
        <v>15</v>
      </c>
      <c r="H36" s="90" t="s">
        <v>143</v>
      </c>
      <c r="I36" s="90">
        <v>2566</v>
      </c>
      <c r="J36" s="128" t="s">
        <v>121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</row>
    <row r="37" spans="1:12" s="134" customFormat="1" ht="20.25">
      <c r="A37" s="116">
        <v>10</v>
      </c>
      <c r="B37" s="132" t="s">
        <v>175</v>
      </c>
      <c r="C37" s="132" t="s">
        <v>116</v>
      </c>
      <c r="D37" s="135" t="s">
        <v>115</v>
      </c>
      <c r="E37" s="132" t="s">
        <v>141</v>
      </c>
      <c r="F37" s="133"/>
      <c r="G37" s="116">
        <v>15</v>
      </c>
      <c r="H37" s="116" t="s">
        <v>143</v>
      </c>
      <c r="I37" s="116">
        <v>2566</v>
      </c>
      <c r="J37" s="132" t="s">
        <v>121</v>
      </c>
      <c r="L37" s="134" t="s">
        <v>228</v>
      </c>
    </row>
    <row r="38" spans="1:38" ht="20.25">
      <c r="A38" s="90">
        <v>11</v>
      </c>
      <c r="B38" s="125" t="s">
        <v>176</v>
      </c>
      <c r="C38" s="126" t="s">
        <v>116</v>
      </c>
      <c r="D38" s="91" t="s">
        <v>115</v>
      </c>
      <c r="E38" s="128" t="s">
        <v>141</v>
      </c>
      <c r="F38" s="127"/>
      <c r="G38" s="90">
        <v>15</v>
      </c>
      <c r="H38" s="90" t="s">
        <v>143</v>
      </c>
      <c r="I38" s="90">
        <v>2566</v>
      </c>
      <c r="J38" s="128" t="s">
        <v>121</v>
      </c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</row>
    <row r="39" spans="1:38" ht="20.25">
      <c r="A39" s="90">
        <v>12</v>
      </c>
      <c r="B39" s="125" t="s">
        <v>177</v>
      </c>
      <c r="C39" s="126" t="s">
        <v>116</v>
      </c>
      <c r="D39" s="91" t="s">
        <v>115</v>
      </c>
      <c r="E39" s="128" t="s">
        <v>141</v>
      </c>
      <c r="F39" s="127"/>
      <c r="G39" s="90">
        <v>15</v>
      </c>
      <c r="H39" s="90" t="s">
        <v>143</v>
      </c>
      <c r="I39" s="90">
        <v>2566</v>
      </c>
      <c r="J39" s="128" t="s">
        <v>121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</row>
    <row r="40" spans="1:38" ht="20.25">
      <c r="A40" s="90">
        <v>13</v>
      </c>
      <c r="B40" s="125" t="s">
        <v>178</v>
      </c>
      <c r="C40" s="126" t="s">
        <v>116</v>
      </c>
      <c r="D40" s="91" t="s">
        <v>115</v>
      </c>
      <c r="E40" s="128" t="s">
        <v>141</v>
      </c>
      <c r="F40" s="127"/>
      <c r="G40" s="90">
        <v>15</v>
      </c>
      <c r="H40" s="90" t="s">
        <v>143</v>
      </c>
      <c r="I40" s="90">
        <v>2566</v>
      </c>
      <c r="J40" s="128" t="s">
        <v>121</v>
      </c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</row>
    <row r="41" spans="1:38" ht="20.25">
      <c r="A41" s="90">
        <v>14</v>
      </c>
      <c r="B41" s="125" t="s">
        <v>179</v>
      </c>
      <c r="C41" s="126" t="s">
        <v>116</v>
      </c>
      <c r="D41" s="91" t="s">
        <v>115</v>
      </c>
      <c r="E41" s="128" t="s">
        <v>141</v>
      </c>
      <c r="F41" s="127"/>
      <c r="G41" s="90">
        <v>15</v>
      </c>
      <c r="H41" s="90" t="s">
        <v>143</v>
      </c>
      <c r="I41" s="90">
        <v>2566</v>
      </c>
      <c r="J41" s="128" t="s">
        <v>121</v>
      </c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</row>
    <row r="42" spans="1:38" ht="20.25">
      <c r="A42" s="90">
        <v>15</v>
      </c>
      <c r="B42" s="125" t="s">
        <v>180</v>
      </c>
      <c r="C42" s="126" t="s">
        <v>116</v>
      </c>
      <c r="D42" s="91" t="s">
        <v>115</v>
      </c>
      <c r="E42" s="128" t="s">
        <v>141</v>
      </c>
      <c r="F42" s="127"/>
      <c r="G42" s="90">
        <v>15</v>
      </c>
      <c r="H42" s="90" t="s">
        <v>143</v>
      </c>
      <c r="I42" s="90">
        <v>2566</v>
      </c>
      <c r="J42" s="128" t="s">
        <v>121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</row>
    <row r="43" spans="1:38" ht="20.25">
      <c r="A43" s="90">
        <v>16</v>
      </c>
      <c r="B43" s="125" t="s">
        <v>181</v>
      </c>
      <c r="C43" s="126" t="s">
        <v>116</v>
      </c>
      <c r="D43" s="91" t="s">
        <v>115</v>
      </c>
      <c r="E43" s="128" t="s">
        <v>141</v>
      </c>
      <c r="F43" s="127"/>
      <c r="G43" s="90">
        <v>15</v>
      </c>
      <c r="H43" s="90" t="s">
        <v>143</v>
      </c>
      <c r="I43" s="90">
        <v>2566</v>
      </c>
      <c r="J43" s="128" t="s">
        <v>121</v>
      </c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</row>
    <row r="44" spans="1:38" ht="20.25">
      <c r="A44" s="90">
        <v>17</v>
      </c>
      <c r="B44" s="125" t="s">
        <v>182</v>
      </c>
      <c r="C44" s="126" t="s">
        <v>116</v>
      </c>
      <c r="D44" s="91" t="s">
        <v>115</v>
      </c>
      <c r="E44" s="128" t="s">
        <v>141</v>
      </c>
      <c r="F44" s="127"/>
      <c r="G44" s="90">
        <v>15</v>
      </c>
      <c r="H44" s="90" t="s">
        <v>143</v>
      </c>
      <c r="I44" s="90">
        <v>2566</v>
      </c>
      <c r="J44" s="128" t="s">
        <v>121</v>
      </c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</row>
    <row r="45" spans="1:38" ht="20.25">
      <c r="A45" s="90">
        <v>18</v>
      </c>
      <c r="B45" s="125" t="s">
        <v>183</v>
      </c>
      <c r="C45" s="126" t="s">
        <v>116</v>
      </c>
      <c r="D45" s="91" t="s">
        <v>115</v>
      </c>
      <c r="E45" s="128" t="s">
        <v>141</v>
      </c>
      <c r="F45" s="127"/>
      <c r="G45" s="90">
        <v>15</v>
      </c>
      <c r="H45" s="90" t="s">
        <v>143</v>
      </c>
      <c r="I45" s="90">
        <v>2566</v>
      </c>
      <c r="J45" s="128" t="s">
        <v>121</v>
      </c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</row>
    <row r="46" spans="1:38" ht="20.25">
      <c r="A46" s="90">
        <v>19</v>
      </c>
      <c r="B46" s="125" t="s">
        <v>184</v>
      </c>
      <c r="C46" s="126" t="s">
        <v>116</v>
      </c>
      <c r="D46" s="91" t="s">
        <v>115</v>
      </c>
      <c r="E46" s="128" t="s">
        <v>141</v>
      </c>
      <c r="F46" s="127"/>
      <c r="G46" s="90">
        <v>15</v>
      </c>
      <c r="H46" s="90" t="s">
        <v>143</v>
      </c>
      <c r="I46" s="90">
        <v>2566</v>
      </c>
      <c r="J46" s="128" t="s">
        <v>121</v>
      </c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</row>
    <row r="47" spans="1:38" ht="20.25">
      <c r="A47" s="90">
        <v>20</v>
      </c>
      <c r="B47" s="125" t="s">
        <v>185</v>
      </c>
      <c r="C47" s="126" t="s">
        <v>116</v>
      </c>
      <c r="D47" s="91" t="s">
        <v>115</v>
      </c>
      <c r="E47" s="128" t="s">
        <v>141</v>
      </c>
      <c r="F47" s="127"/>
      <c r="G47" s="90">
        <v>15</v>
      </c>
      <c r="H47" s="90" t="s">
        <v>143</v>
      </c>
      <c r="I47" s="90">
        <v>2566</v>
      </c>
      <c r="J47" s="128" t="s">
        <v>121</v>
      </c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</row>
    <row r="48" spans="1:38" ht="20.25">
      <c r="A48" s="90">
        <v>21</v>
      </c>
      <c r="B48" s="125" t="s">
        <v>186</v>
      </c>
      <c r="C48" s="126" t="s">
        <v>116</v>
      </c>
      <c r="D48" s="91" t="s">
        <v>115</v>
      </c>
      <c r="E48" s="128" t="s">
        <v>141</v>
      </c>
      <c r="F48" s="127"/>
      <c r="G48" s="90">
        <v>15</v>
      </c>
      <c r="H48" s="90" t="s">
        <v>143</v>
      </c>
      <c r="I48" s="90">
        <v>2566</v>
      </c>
      <c r="J48" s="128" t="s">
        <v>121</v>
      </c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</row>
    <row r="49" spans="1:38" ht="20.25">
      <c r="A49" s="90">
        <v>22</v>
      </c>
      <c r="B49" s="125" t="s">
        <v>187</v>
      </c>
      <c r="C49" s="126" t="s">
        <v>116</v>
      </c>
      <c r="D49" s="91" t="s">
        <v>115</v>
      </c>
      <c r="E49" s="128" t="s">
        <v>141</v>
      </c>
      <c r="F49" s="127"/>
      <c r="G49" s="90">
        <v>15</v>
      </c>
      <c r="H49" s="90" t="s">
        <v>143</v>
      </c>
      <c r="I49" s="90">
        <v>2566</v>
      </c>
      <c r="J49" s="128" t="s">
        <v>121</v>
      </c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</row>
    <row r="50" spans="1:38" ht="20.25">
      <c r="A50" s="90">
        <v>23</v>
      </c>
      <c r="B50" s="125" t="s">
        <v>188</v>
      </c>
      <c r="C50" s="126" t="s">
        <v>116</v>
      </c>
      <c r="D50" s="91" t="s">
        <v>115</v>
      </c>
      <c r="E50" s="128" t="s">
        <v>141</v>
      </c>
      <c r="F50" s="127"/>
      <c r="G50" s="90">
        <v>15</v>
      </c>
      <c r="H50" s="90" t="s">
        <v>143</v>
      </c>
      <c r="I50" s="90">
        <v>2566</v>
      </c>
      <c r="J50" s="128" t="s">
        <v>121</v>
      </c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</row>
    <row r="51" spans="1:38" ht="20.25">
      <c r="A51" s="90">
        <v>24</v>
      </c>
      <c r="B51" s="125" t="s">
        <v>189</v>
      </c>
      <c r="C51" s="126" t="s">
        <v>116</v>
      </c>
      <c r="D51" s="91" t="s">
        <v>115</v>
      </c>
      <c r="E51" s="128" t="s">
        <v>141</v>
      </c>
      <c r="F51" s="127"/>
      <c r="G51" s="90">
        <v>15</v>
      </c>
      <c r="H51" s="90" t="s">
        <v>143</v>
      </c>
      <c r="I51" s="90">
        <v>2566</v>
      </c>
      <c r="J51" s="128" t="s">
        <v>121</v>
      </c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</row>
    <row r="52" spans="1:38" ht="20.25">
      <c r="A52" s="90">
        <v>25</v>
      </c>
      <c r="B52" s="125" t="s">
        <v>190</v>
      </c>
      <c r="C52" s="126" t="s">
        <v>116</v>
      </c>
      <c r="D52" s="91" t="s">
        <v>115</v>
      </c>
      <c r="E52" s="128" t="s">
        <v>141</v>
      </c>
      <c r="F52" s="127"/>
      <c r="G52" s="90">
        <v>15</v>
      </c>
      <c r="H52" s="90" t="s">
        <v>143</v>
      </c>
      <c r="I52" s="90">
        <v>2566</v>
      </c>
      <c r="J52" s="128" t="s">
        <v>121</v>
      </c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</row>
    <row r="53" spans="1:38" ht="20.25">
      <c r="A53" s="90">
        <v>26</v>
      </c>
      <c r="B53" s="125" t="s">
        <v>191</v>
      </c>
      <c r="C53" s="126" t="s">
        <v>116</v>
      </c>
      <c r="D53" s="91" t="s">
        <v>115</v>
      </c>
      <c r="E53" s="128" t="s">
        <v>141</v>
      </c>
      <c r="F53" s="127"/>
      <c r="G53" s="90">
        <v>15</v>
      </c>
      <c r="H53" s="90" t="s">
        <v>143</v>
      </c>
      <c r="I53" s="90">
        <v>2566</v>
      </c>
      <c r="J53" s="128" t="s">
        <v>121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</row>
    <row r="54" spans="1:38" ht="20.25">
      <c r="A54" s="90">
        <v>27</v>
      </c>
      <c r="B54" s="125" t="s">
        <v>192</v>
      </c>
      <c r="C54" s="126" t="s">
        <v>116</v>
      </c>
      <c r="D54" s="91" t="s">
        <v>115</v>
      </c>
      <c r="E54" s="128" t="s">
        <v>141</v>
      </c>
      <c r="F54" s="127"/>
      <c r="G54" s="90">
        <v>15</v>
      </c>
      <c r="H54" s="90" t="s">
        <v>143</v>
      </c>
      <c r="I54" s="90">
        <v>2566</v>
      </c>
      <c r="J54" s="128" t="s">
        <v>121</v>
      </c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</row>
    <row r="55" spans="1:38" ht="20.25">
      <c r="A55" s="90">
        <v>28</v>
      </c>
      <c r="B55" s="125" t="s">
        <v>193</v>
      </c>
      <c r="C55" s="126" t="s">
        <v>116</v>
      </c>
      <c r="D55" s="91" t="s">
        <v>115</v>
      </c>
      <c r="E55" s="128" t="s">
        <v>141</v>
      </c>
      <c r="F55" s="127"/>
      <c r="G55" s="90">
        <v>15</v>
      </c>
      <c r="H55" s="90" t="s">
        <v>143</v>
      </c>
      <c r="I55" s="90">
        <v>2566</v>
      </c>
      <c r="J55" s="128" t="s">
        <v>121</v>
      </c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</row>
    <row r="56" spans="1:38" ht="20.25">
      <c r="A56" s="90">
        <v>29</v>
      </c>
      <c r="B56" s="125" t="s">
        <v>194</v>
      </c>
      <c r="C56" s="126" t="s">
        <v>116</v>
      </c>
      <c r="D56" s="91" t="s">
        <v>115</v>
      </c>
      <c r="E56" s="128" t="s">
        <v>141</v>
      </c>
      <c r="F56" s="127"/>
      <c r="G56" s="90">
        <v>15</v>
      </c>
      <c r="H56" s="90" t="s">
        <v>143</v>
      </c>
      <c r="I56" s="90">
        <v>2566</v>
      </c>
      <c r="J56" s="128" t="s">
        <v>121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</row>
    <row r="57" spans="1:38" ht="20.25">
      <c r="A57" s="90">
        <v>30</v>
      </c>
      <c r="B57" s="125" t="s">
        <v>195</v>
      </c>
      <c r="C57" s="126" t="s">
        <v>116</v>
      </c>
      <c r="D57" s="91" t="s">
        <v>115</v>
      </c>
      <c r="E57" s="128" t="s">
        <v>141</v>
      </c>
      <c r="F57" s="127"/>
      <c r="G57" s="90">
        <v>15</v>
      </c>
      <c r="H57" s="90" t="s">
        <v>143</v>
      </c>
      <c r="I57" s="90">
        <v>2566</v>
      </c>
      <c r="J57" s="128" t="s">
        <v>121</v>
      </c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</row>
    <row r="58" spans="1:38" ht="20.25">
      <c r="A58" s="90">
        <v>31</v>
      </c>
      <c r="B58" s="125" t="s">
        <v>196</v>
      </c>
      <c r="C58" s="126" t="s">
        <v>116</v>
      </c>
      <c r="D58" s="91" t="s">
        <v>115</v>
      </c>
      <c r="E58" s="128" t="s">
        <v>141</v>
      </c>
      <c r="F58" s="127"/>
      <c r="G58" s="90">
        <v>15</v>
      </c>
      <c r="H58" s="90" t="s">
        <v>143</v>
      </c>
      <c r="I58" s="90">
        <v>2566</v>
      </c>
      <c r="J58" s="128" t="s">
        <v>121</v>
      </c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</row>
    <row r="59" spans="1:38" ht="20.25">
      <c r="A59" s="90">
        <v>32</v>
      </c>
      <c r="B59" s="125" t="s">
        <v>197</v>
      </c>
      <c r="C59" s="126" t="s">
        <v>116</v>
      </c>
      <c r="D59" s="91" t="s">
        <v>115</v>
      </c>
      <c r="E59" s="128" t="s">
        <v>141</v>
      </c>
      <c r="F59" s="127"/>
      <c r="G59" s="90">
        <v>15</v>
      </c>
      <c r="H59" s="90" t="s">
        <v>143</v>
      </c>
      <c r="I59" s="90">
        <v>2566</v>
      </c>
      <c r="J59" s="128" t="s">
        <v>121</v>
      </c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</row>
    <row r="60" spans="1:38" ht="20.25">
      <c r="A60" s="90">
        <v>33</v>
      </c>
      <c r="B60" s="125" t="s">
        <v>198</v>
      </c>
      <c r="C60" s="126" t="s">
        <v>116</v>
      </c>
      <c r="D60" s="91" t="s">
        <v>115</v>
      </c>
      <c r="E60" s="128" t="s">
        <v>141</v>
      </c>
      <c r="F60" s="127"/>
      <c r="G60" s="90">
        <v>15</v>
      </c>
      <c r="H60" s="90" t="s">
        <v>143</v>
      </c>
      <c r="I60" s="90">
        <v>2566</v>
      </c>
      <c r="J60" s="128" t="s">
        <v>121</v>
      </c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</row>
    <row r="61" spans="1:38" ht="20.25">
      <c r="A61" s="90">
        <v>34</v>
      </c>
      <c r="B61" s="125" t="s">
        <v>199</v>
      </c>
      <c r="C61" s="126" t="s">
        <v>116</v>
      </c>
      <c r="D61" s="91" t="s">
        <v>115</v>
      </c>
      <c r="E61" s="128" t="s">
        <v>141</v>
      </c>
      <c r="F61" s="127"/>
      <c r="G61" s="90">
        <v>15</v>
      </c>
      <c r="H61" s="90" t="s">
        <v>143</v>
      </c>
      <c r="I61" s="90">
        <v>2566</v>
      </c>
      <c r="J61" s="128" t="s">
        <v>121</v>
      </c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</row>
    <row r="62" spans="1:38" ht="20.25">
      <c r="A62" s="90">
        <v>35</v>
      </c>
      <c r="B62" s="125" t="s">
        <v>200</v>
      </c>
      <c r="C62" s="126" t="s">
        <v>116</v>
      </c>
      <c r="D62" s="91" t="s">
        <v>115</v>
      </c>
      <c r="E62" s="128" t="s">
        <v>141</v>
      </c>
      <c r="F62" s="127"/>
      <c r="G62" s="90">
        <v>15</v>
      </c>
      <c r="H62" s="90" t="s">
        <v>143</v>
      </c>
      <c r="I62" s="90">
        <v>2566</v>
      </c>
      <c r="J62" s="128" t="s">
        <v>121</v>
      </c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</row>
    <row r="63" spans="1:38" ht="20.25">
      <c r="A63" s="90">
        <v>36</v>
      </c>
      <c r="B63" s="125" t="s">
        <v>201</v>
      </c>
      <c r="C63" s="126" t="s">
        <v>116</v>
      </c>
      <c r="D63" s="91" t="s">
        <v>115</v>
      </c>
      <c r="E63" s="128" t="s">
        <v>141</v>
      </c>
      <c r="F63" s="127" t="s">
        <v>49</v>
      </c>
      <c r="G63" s="90">
        <v>15</v>
      </c>
      <c r="H63" s="90" t="s">
        <v>143</v>
      </c>
      <c r="I63" s="90">
        <v>2566</v>
      </c>
      <c r="J63" s="128" t="s">
        <v>121</v>
      </c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</row>
    <row r="64" spans="1:38" ht="20.25">
      <c r="A64" s="90">
        <v>37</v>
      </c>
      <c r="B64" s="125" t="s">
        <v>202</v>
      </c>
      <c r="C64" s="126" t="s">
        <v>116</v>
      </c>
      <c r="D64" s="91" t="s">
        <v>115</v>
      </c>
      <c r="E64" s="128" t="s">
        <v>141</v>
      </c>
      <c r="F64" s="127" t="s">
        <v>49</v>
      </c>
      <c r="G64" s="90">
        <v>15</v>
      </c>
      <c r="H64" s="90" t="s">
        <v>143</v>
      </c>
      <c r="I64" s="90">
        <v>2566</v>
      </c>
      <c r="J64" s="128" t="s">
        <v>121</v>
      </c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</row>
    <row r="65" spans="1:38" ht="20.25">
      <c r="A65" s="90">
        <v>38</v>
      </c>
      <c r="B65" s="125" t="s">
        <v>203</v>
      </c>
      <c r="C65" s="126" t="s">
        <v>116</v>
      </c>
      <c r="D65" s="91" t="s">
        <v>115</v>
      </c>
      <c r="E65" s="128" t="s">
        <v>141</v>
      </c>
      <c r="F65" s="127" t="s">
        <v>204</v>
      </c>
      <c r="G65" s="90">
        <v>15</v>
      </c>
      <c r="H65" s="90" t="s">
        <v>143</v>
      </c>
      <c r="I65" s="90">
        <v>2566</v>
      </c>
      <c r="J65" s="128" t="s">
        <v>121</v>
      </c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</row>
    <row r="66" spans="1:38" ht="20.25">
      <c r="A66" s="90">
        <v>39</v>
      </c>
      <c r="B66" s="125" t="s">
        <v>205</v>
      </c>
      <c r="C66" s="126" t="s">
        <v>116</v>
      </c>
      <c r="D66" s="91" t="s">
        <v>115</v>
      </c>
      <c r="E66" s="128" t="s">
        <v>141</v>
      </c>
      <c r="F66" s="127" t="s">
        <v>204</v>
      </c>
      <c r="G66" s="90">
        <v>15</v>
      </c>
      <c r="H66" s="90" t="s">
        <v>143</v>
      </c>
      <c r="I66" s="90">
        <v>2566</v>
      </c>
      <c r="J66" s="128" t="s">
        <v>121</v>
      </c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</row>
    <row r="67" spans="1:38" ht="20.25">
      <c r="A67" s="90">
        <v>40</v>
      </c>
      <c r="B67" s="125" t="s">
        <v>206</v>
      </c>
      <c r="C67" s="126" t="s">
        <v>116</v>
      </c>
      <c r="D67" s="91" t="s">
        <v>115</v>
      </c>
      <c r="E67" s="128" t="s">
        <v>141</v>
      </c>
      <c r="F67" s="127" t="s">
        <v>204</v>
      </c>
      <c r="G67" s="90">
        <v>15</v>
      </c>
      <c r="H67" s="90" t="s">
        <v>143</v>
      </c>
      <c r="I67" s="90">
        <v>2566</v>
      </c>
      <c r="J67" s="128" t="s">
        <v>121</v>
      </c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</row>
    <row r="68" spans="1:38" ht="20.25">
      <c r="A68" s="90">
        <v>41</v>
      </c>
      <c r="B68" s="125" t="s">
        <v>207</v>
      </c>
      <c r="C68" s="126" t="s">
        <v>116</v>
      </c>
      <c r="D68" s="91" t="s">
        <v>115</v>
      </c>
      <c r="E68" s="128" t="s">
        <v>141</v>
      </c>
      <c r="F68" s="127"/>
      <c r="G68" s="90">
        <v>15</v>
      </c>
      <c r="H68" s="90" t="s">
        <v>143</v>
      </c>
      <c r="I68" s="90">
        <v>2566</v>
      </c>
      <c r="J68" s="126" t="s">
        <v>208</v>
      </c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</row>
    <row r="69" spans="1:38" ht="20.25">
      <c r="A69" s="90">
        <v>42</v>
      </c>
      <c r="B69" s="129" t="s">
        <v>209</v>
      </c>
      <c r="C69" s="130" t="s">
        <v>120</v>
      </c>
      <c r="D69" s="91" t="s">
        <v>115</v>
      </c>
      <c r="E69" s="128" t="s">
        <v>141</v>
      </c>
      <c r="F69" s="127"/>
      <c r="G69" s="90">
        <v>15</v>
      </c>
      <c r="H69" s="90" t="s">
        <v>143</v>
      </c>
      <c r="I69" s="90">
        <v>2566</v>
      </c>
      <c r="J69" s="130" t="s">
        <v>210</v>
      </c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</row>
    <row r="70" spans="1:38" ht="20.25">
      <c r="A70" s="90">
        <v>43</v>
      </c>
      <c r="B70" s="129" t="s">
        <v>211</v>
      </c>
      <c r="C70" s="130" t="s">
        <v>120</v>
      </c>
      <c r="D70" s="91" t="s">
        <v>115</v>
      </c>
      <c r="E70" s="128" t="s">
        <v>141</v>
      </c>
      <c r="F70" s="127"/>
      <c r="G70" s="90">
        <v>15</v>
      </c>
      <c r="H70" s="90" t="s">
        <v>143</v>
      </c>
      <c r="I70" s="90">
        <v>2566</v>
      </c>
      <c r="J70" s="130" t="s">
        <v>210</v>
      </c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</row>
    <row r="71" spans="1:38" ht="20.25">
      <c r="A71" s="90">
        <v>44</v>
      </c>
      <c r="B71" s="129" t="s">
        <v>212</v>
      </c>
      <c r="C71" s="130" t="s">
        <v>120</v>
      </c>
      <c r="D71" s="130" t="s">
        <v>50</v>
      </c>
      <c r="E71" s="128" t="s">
        <v>213</v>
      </c>
      <c r="F71" s="127" t="s">
        <v>214</v>
      </c>
      <c r="G71" s="90">
        <v>15</v>
      </c>
      <c r="H71" s="90" t="s">
        <v>143</v>
      </c>
      <c r="I71" s="90">
        <v>2566</v>
      </c>
      <c r="J71" s="130" t="s">
        <v>210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</row>
    <row r="72" spans="1:38" ht="20.25">
      <c r="A72" s="90">
        <v>45</v>
      </c>
      <c r="B72" s="129" t="s">
        <v>215</v>
      </c>
      <c r="C72" s="130" t="s">
        <v>118</v>
      </c>
      <c r="D72" s="91" t="s">
        <v>115</v>
      </c>
      <c r="E72" s="128" t="s">
        <v>141</v>
      </c>
      <c r="F72" s="127"/>
      <c r="G72" s="90">
        <v>15</v>
      </c>
      <c r="H72" s="90" t="s">
        <v>143</v>
      </c>
      <c r="I72" s="90">
        <v>2566</v>
      </c>
      <c r="J72" s="130" t="s">
        <v>210</v>
      </c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</row>
    <row r="73" spans="1:38" ht="20.25">
      <c r="A73" s="90">
        <v>46</v>
      </c>
      <c r="B73" s="129" t="s">
        <v>216</v>
      </c>
      <c r="C73" s="130" t="s">
        <v>118</v>
      </c>
      <c r="D73" s="91" t="s">
        <v>115</v>
      </c>
      <c r="E73" s="128" t="s">
        <v>141</v>
      </c>
      <c r="F73" s="127"/>
      <c r="G73" s="90">
        <v>15</v>
      </c>
      <c r="H73" s="90" t="s">
        <v>143</v>
      </c>
      <c r="I73" s="90">
        <v>2566</v>
      </c>
      <c r="J73" s="130" t="s">
        <v>210</v>
      </c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</row>
    <row r="74" spans="1:38" ht="20.25">
      <c r="A74" s="90">
        <v>47</v>
      </c>
      <c r="B74" s="129" t="s">
        <v>217</v>
      </c>
      <c r="C74" s="130" t="s">
        <v>118</v>
      </c>
      <c r="D74" s="130" t="s">
        <v>49</v>
      </c>
      <c r="E74" s="128" t="s">
        <v>49</v>
      </c>
      <c r="F74" s="127" t="s">
        <v>218</v>
      </c>
      <c r="G74" s="90">
        <v>15</v>
      </c>
      <c r="H74" s="90" t="s">
        <v>143</v>
      </c>
      <c r="I74" s="90">
        <v>2566</v>
      </c>
      <c r="J74" s="130" t="s">
        <v>210</v>
      </c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</row>
    <row r="75" spans="1:38" ht="20.25">
      <c r="A75" s="90">
        <v>48</v>
      </c>
      <c r="B75" s="129" t="s">
        <v>219</v>
      </c>
      <c r="C75" s="130" t="s">
        <v>118</v>
      </c>
      <c r="D75" s="130" t="s">
        <v>50</v>
      </c>
      <c r="E75" s="128" t="s">
        <v>213</v>
      </c>
      <c r="F75" s="127" t="s">
        <v>220</v>
      </c>
      <c r="G75" s="90">
        <v>15</v>
      </c>
      <c r="H75" s="90" t="s">
        <v>143</v>
      </c>
      <c r="I75" s="90">
        <v>2566</v>
      </c>
      <c r="J75" s="130" t="s">
        <v>210</v>
      </c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</row>
    <row r="76" spans="1:38" ht="20.25">
      <c r="A76" s="90">
        <v>49</v>
      </c>
      <c r="B76" s="129" t="s">
        <v>221</v>
      </c>
      <c r="C76" s="130" t="s">
        <v>119</v>
      </c>
      <c r="D76" s="91" t="s">
        <v>115</v>
      </c>
      <c r="E76" s="128" t="s">
        <v>141</v>
      </c>
      <c r="F76" s="127"/>
      <c r="G76" s="90">
        <v>15</v>
      </c>
      <c r="H76" s="90" t="s">
        <v>143</v>
      </c>
      <c r="I76" s="90">
        <v>2566</v>
      </c>
      <c r="J76" s="130" t="s">
        <v>210</v>
      </c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</row>
    <row r="77" spans="1:38" ht="20.25">
      <c r="A77" s="90">
        <v>50</v>
      </c>
      <c r="B77" s="129" t="s">
        <v>222</v>
      </c>
      <c r="C77" s="130" t="s">
        <v>119</v>
      </c>
      <c r="D77" s="91" t="s">
        <v>115</v>
      </c>
      <c r="E77" s="128" t="s">
        <v>141</v>
      </c>
      <c r="F77" s="127"/>
      <c r="G77" s="90">
        <v>15</v>
      </c>
      <c r="H77" s="90" t="s">
        <v>143</v>
      </c>
      <c r="I77" s="90">
        <v>2566</v>
      </c>
      <c r="J77" s="130" t="s">
        <v>210</v>
      </c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</row>
    <row r="78" spans="1:38" ht="20.25">
      <c r="A78" s="90">
        <v>51</v>
      </c>
      <c r="B78" s="129" t="s">
        <v>223</v>
      </c>
      <c r="C78" s="130" t="s">
        <v>119</v>
      </c>
      <c r="D78" s="91" t="s">
        <v>115</v>
      </c>
      <c r="E78" s="128" t="s">
        <v>141</v>
      </c>
      <c r="F78" s="127"/>
      <c r="G78" s="90">
        <v>15</v>
      </c>
      <c r="H78" s="90" t="s">
        <v>143</v>
      </c>
      <c r="I78" s="90">
        <v>2566</v>
      </c>
      <c r="J78" s="130" t="s">
        <v>210</v>
      </c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</row>
    <row r="79" spans="1:38" ht="20.25">
      <c r="A79" s="90">
        <v>52</v>
      </c>
      <c r="B79" s="129" t="s">
        <v>224</v>
      </c>
      <c r="C79" s="130" t="s">
        <v>119</v>
      </c>
      <c r="D79" s="130" t="s">
        <v>50</v>
      </c>
      <c r="E79" s="128" t="s">
        <v>213</v>
      </c>
      <c r="F79" s="127" t="s">
        <v>220</v>
      </c>
      <c r="G79" s="90">
        <v>15</v>
      </c>
      <c r="H79" s="90" t="s">
        <v>143</v>
      </c>
      <c r="I79" s="90">
        <v>2566</v>
      </c>
      <c r="J79" s="130" t="s">
        <v>210</v>
      </c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</row>
    <row r="80" spans="1:38" ht="20.25">
      <c r="A80" s="90">
        <v>53</v>
      </c>
      <c r="B80" s="129" t="s">
        <v>225</v>
      </c>
      <c r="C80" s="130" t="s">
        <v>119</v>
      </c>
      <c r="D80" s="130" t="s">
        <v>50</v>
      </c>
      <c r="E80" s="128" t="s">
        <v>213</v>
      </c>
      <c r="F80" s="127" t="s">
        <v>220</v>
      </c>
      <c r="G80" s="90">
        <v>15</v>
      </c>
      <c r="H80" s="90" t="s">
        <v>143</v>
      </c>
      <c r="I80" s="90">
        <v>2566</v>
      </c>
      <c r="J80" s="130" t="s">
        <v>210</v>
      </c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</row>
    <row r="81" ht="20.25">
      <c r="L81" s="123" t="s">
        <v>243</v>
      </c>
    </row>
  </sheetData>
  <sheetProtection/>
  <autoFilter ref="D7:F132"/>
  <mergeCells count="10"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G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RCcomputer</dc:creator>
  <cp:keywords/>
  <dc:description/>
  <cp:lastModifiedBy>SSJ-HR</cp:lastModifiedBy>
  <cp:lastPrinted>2022-10-31T04:32:20Z</cp:lastPrinted>
  <dcterms:created xsi:type="dcterms:W3CDTF">2012-02-24T02:40:47Z</dcterms:created>
  <dcterms:modified xsi:type="dcterms:W3CDTF">2022-11-01T04:54:21Z</dcterms:modified>
  <cp:category/>
  <cp:version/>
  <cp:contentType/>
  <cp:contentStatus/>
</cp:coreProperties>
</file>